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iilite\Downloads\"/>
    </mc:Choice>
  </mc:AlternateContent>
  <xr:revisionPtr revIDLastSave="0" documentId="8_{2BB4BD24-28F8-42BC-B79E-27F4B1F5C27E}" xr6:coauthVersionLast="45" xr6:coauthVersionMax="45" xr10:uidLastSave="{00000000-0000-0000-0000-000000000000}"/>
  <bookViews>
    <workbookView xWindow="-120" yWindow="-120" windowWidth="29040" windowHeight="15840" tabRatio="741" xr2:uid="{00000000-000D-0000-FFFF-FFFF00000000}"/>
  </bookViews>
  <sheets>
    <sheet name="2020" sheetId="17" r:id="rId1"/>
    <sheet name="Budget" sheetId="18" r:id="rId2"/>
    <sheet name="Q1" sheetId="19" r:id="rId3"/>
    <sheet name="Jan" sheetId="1" r:id="rId4"/>
    <sheet name="Feb" sheetId="6" r:id="rId5"/>
    <sheet name="Mar" sheetId="7" r:id="rId6"/>
    <sheet name="Q2" sheetId="20" r:id="rId7"/>
    <sheet name="Apr" sheetId="8" r:id="rId8"/>
    <sheet name="May" sheetId="9" r:id="rId9"/>
    <sheet name="Jun" sheetId="10" r:id="rId10"/>
    <sheet name="Q3" sheetId="21" r:id="rId11"/>
    <sheet name="Jul" sheetId="11" r:id="rId12"/>
    <sheet name="Aug" sheetId="12" r:id="rId13"/>
    <sheet name="Sep" sheetId="13" r:id="rId14"/>
    <sheet name="Q4" sheetId="22" r:id="rId15"/>
    <sheet name="Oct" sheetId="14" r:id="rId16"/>
    <sheet name="Nov" sheetId="15" r:id="rId17"/>
    <sheet name="Dec" sheetId="16" r:id="rId18"/>
  </sheets>
  <definedNames>
    <definedName name="AprSun1">DATE(CalendarYear,4,1)-WEEKDAY(DATE(CalendarYear,4,1))</definedName>
    <definedName name="AssignmentDays" localSheetId="7">Apr!$N$4:$N$33</definedName>
    <definedName name="AssignmentDays" localSheetId="12">Aug!$N$4:$N$33</definedName>
    <definedName name="AssignmentDays" localSheetId="17">Dec!$N$4:$N$33</definedName>
    <definedName name="AssignmentDays" localSheetId="4">Feb!$N$4:$N$33</definedName>
    <definedName name="AssignmentDays" localSheetId="11">Jul!$N$4:$N$33</definedName>
    <definedName name="AssignmentDays" localSheetId="9">Jun!$N$4:$N$33</definedName>
    <definedName name="AssignmentDays" localSheetId="5">Mar!$N$4:$N$33</definedName>
    <definedName name="AssignmentDays" localSheetId="8">May!$N$4:$N$33</definedName>
    <definedName name="AssignmentDays" localSheetId="16">Nov!$N$4:$N$33</definedName>
    <definedName name="AssignmentDays" localSheetId="15">Oct!$N$4:$N$33</definedName>
    <definedName name="AssignmentDays" localSheetId="13">Sep!$N$4:$N$33</definedName>
    <definedName name="AssignmentDays">Jan!$N$4:$N$33</definedName>
    <definedName name="AugSun1">DATE(CalendarYear,8,1)-WEEKDAY(DATE(CalendarYear,8,1))</definedName>
    <definedName name="CalendarYear">Jan!$P$2</definedName>
    <definedName name="DecSun1">DATE(CalendarYear,12,1)-WEEKDAY(DATE(CalendarYear,12,1))</definedName>
    <definedName name="FebSun1">DATE(CalendarYear,2,1)-WEEKDAY(DATE(CalendarYear,2,1))</definedName>
    <definedName name="ImportantDatesTable" localSheetId="7">Apr!$N$4:$O$8</definedName>
    <definedName name="ImportantDatesTable" localSheetId="12">Aug!$N$4:$O$8</definedName>
    <definedName name="ImportantDatesTable" localSheetId="17">Dec!$N$4:$O$8</definedName>
    <definedName name="ImportantDatesTable" localSheetId="4">Feb!$N$4:$O$8</definedName>
    <definedName name="ImportantDatesTable" localSheetId="11">Jul!$N$4:$O$8</definedName>
    <definedName name="ImportantDatesTable" localSheetId="9">Jun!$N$4:$O$8</definedName>
    <definedName name="ImportantDatesTable" localSheetId="5">Mar!$N$4:$O$8</definedName>
    <definedName name="ImportantDatesTable" localSheetId="8">May!$N$4:$O$8</definedName>
    <definedName name="ImportantDatesTable" localSheetId="16">Nov!$N$4:$O$8</definedName>
    <definedName name="ImportantDatesTable" localSheetId="15">Oct!$N$4:$O$8</definedName>
    <definedName name="ImportantDatesTable" localSheetId="13">Sep!$N$4:$O$8</definedName>
    <definedName name="ImportantDatesTable">Jan!$N$4:$O$8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7">Apr!$A$1:$P$33</definedName>
    <definedName name="_xlnm.Print_Area" localSheetId="12">Aug!$A$1:$P$33</definedName>
    <definedName name="_xlnm.Print_Area" localSheetId="17">Dec!$A$1:$P$33</definedName>
    <definedName name="_xlnm.Print_Area" localSheetId="4">Feb!$A$1:$P$33</definedName>
    <definedName name="_xlnm.Print_Area" localSheetId="3">Jan!$A$1:$P$33</definedName>
    <definedName name="_xlnm.Print_Area" localSheetId="11">Jul!$A$1:$P$33</definedName>
    <definedName name="_xlnm.Print_Area" localSheetId="9">Jun!$A$1:$P$33</definedName>
    <definedName name="_xlnm.Print_Area" localSheetId="5">Mar!$A$1:$P$33</definedName>
    <definedName name="_xlnm.Print_Area" localSheetId="8">May!$A$1:$P$33</definedName>
    <definedName name="_xlnm.Print_Area" localSheetId="16">Nov!$A$1:$P$33</definedName>
    <definedName name="_xlnm.Print_Area" localSheetId="15">Oct!$A$1:$P$33</definedName>
    <definedName name="_xlnm.Print_Area" localSheetId="13">Sep!$A$1:$P$33</definedName>
    <definedName name="SepSun1">DATE(CalendarYear,9,1)-WEEKDAY(DATE(CalendarYear,9,1))</definedName>
    <definedName name="we">Jul!$N$4:$N$33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0" i="18" l="1"/>
  <c r="J10" i="18"/>
  <c r="D10" i="18"/>
  <c r="P10" i="18"/>
  <c r="C3" i="18"/>
  <c r="C4" i="1"/>
  <c r="P2" i="7"/>
  <c r="P2" i="8"/>
  <c r="P2" i="9"/>
  <c r="P2" i="10"/>
  <c r="P2" i="11"/>
  <c r="P2" i="12"/>
  <c r="P2" i="13"/>
  <c r="P2" i="14"/>
  <c r="P2" i="15"/>
  <c r="P2" i="16"/>
  <c r="P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</calcChain>
</file>

<file path=xl/sharedStrings.xml><?xml version="1.0" encoding="utf-8"?>
<sst xmlns="http://schemas.openxmlformats.org/spreadsheetml/2006/main" count="430" uniqueCount="88">
  <si>
    <t>JAN</t>
  </si>
  <si>
    <t>M</t>
  </si>
  <si>
    <t>T</t>
  </si>
  <si>
    <t>W</t>
  </si>
  <si>
    <t>F</t>
  </si>
  <si>
    <t>S</t>
  </si>
  <si>
    <t>MON</t>
  </si>
  <si>
    <t>TUES</t>
  </si>
  <si>
    <t>WEEKLY SCHEDULE</t>
  </si>
  <si>
    <t>WED</t>
  </si>
  <si>
    <t>THURS</t>
  </si>
  <si>
    <t>FRI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</si>
  <si>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</si>
  <si>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</si>
  <si>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</si>
  <si>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</si>
  <si>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</si>
  <si>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</si>
  <si>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</si>
  <si>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</si>
  <si>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</si>
  <si>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</si>
  <si>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</si>
  <si>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NOTES</t>
  </si>
  <si>
    <t>SAT</t>
  </si>
  <si>
    <t>SUN</t>
  </si>
  <si>
    <t>Week 1</t>
  </si>
  <si>
    <t>Week 5</t>
  </si>
  <si>
    <t>Week 2</t>
  </si>
  <si>
    <t>Week 3</t>
  </si>
  <si>
    <t>Week 4</t>
  </si>
  <si>
    <t>Activity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</si>
  <si>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</si>
  <si>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</si>
  <si>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</si>
  <si>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</si>
  <si>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</si>
  <si>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</si>
  <si>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</si>
  <si>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</si>
  <si>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</si>
  <si>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</si>
  <si>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</si>
  <si>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</si>
  <si>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Wk 1</t>
  </si>
  <si>
    <t>Wk 2</t>
  </si>
  <si>
    <t>Wk 3</t>
  </si>
  <si>
    <t>Wk 4</t>
  </si>
  <si>
    <t>PPC Campaigns</t>
  </si>
  <si>
    <t>AdWords Campaign</t>
  </si>
  <si>
    <t>Facebook Campaign Messaging</t>
  </si>
  <si>
    <t>Social Media Management</t>
  </si>
  <si>
    <t>Photography Content</t>
  </si>
  <si>
    <t>Video Content</t>
  </si>
  <si>
    <t>Monthly Blog Post</t>
  </si>
  <si>
    <t>Monthly Newsletter</t>
  </si>
  <si>
    <t>Type</t>
  </si>
  <si>
    <t>Date</t>
  </si>
  <si>
    <t>Event</t>
  </si>
  <si>
    <t>Cost</t>
  </si>
  <si>
    <t>What is it?</t>
  </si>
  <si>
    <t>Q1</t>
  </si>
  <si>
    <t>Q2</t>
  </si>
  <si>
    <t>Q3</t>
  </si>
  <si>
    <t>Q4</t>
  </si>
  <si>
    <t>Total Q1</t>
  </si>
  <si>
    <t>Total Q2</t>
  </si>
  <si>
    <t>Total Q3</t>
  </si>
  <si>
    <t>Total Q4</t>
  </si>
  <si>
    <t>Objective</t>
  </si>
  <si>
    <t>Metrics</t>
  </si>
  <si>
    <t>Target Market</t>
  </si>
  <si>
    <t>Geotargeting</t>
  </si>
  <si>
    <t>Competitors</t>
  </si>
  <si>
    <t>Tone &amp; Messaging</t>
  </si>
  <si>
    <r>
      <t>1.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 xml:space="preserve">   </t>
    </r>
  </si>
  <si>
    <r>
      <t>2.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 xml:space="preserve"> </t>
    </r>
  </si>
  <si>
    <r>
      <t>3.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 xml:space="preserve"> </t>
    </r>
  </si>
  <si>
    <r>
      <t>1.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 xml:space="preserve"> </t>
    </r>
  </si>
  <si>
    <r>
      <t>1.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 xml:space="preserve">Primary: </t>
    </r>
  </si>
  <si>
    <r>
      <t>2.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 xml:space="preserve">Secondary: </t>
    </r>
  </si>
  <si>
    <r>
      <t>3.</t>
    </r>
    <r>
      <rPr>
        <sz val="12"/>
        <color theme="1"/>
        <rFont val="Times New Roman"/>
        <family val="1"/>
      </rPr>
      <t xml:space="preserve">     </t>
    </r>
    <r>
      <rPr>
        <sz val="12"/>
        <color theme="1"/>
        <rFont val="Calibri"/>
        <family val="2"/>
      </rPr>
      <t xml:space="preserve">Tertiary: </t>
    </r>
  </si>
  <si>
    <t>Annual Total</t>
  </si>
  <si>
    <t>Platforms:</t>
  </si>
  <si>
    <t>Q1 Digital Strategy Overview</t>
  </si>
  <si>
    <t>Q2 Digital Strategy Overview</t>
  </si>
  <si>
    <t>Q3 Digital Strategy Overview</t>
  </si>
  <si>
    <t>Q4 Digital Strategy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</si>
</sst>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d"/>
  </numFmts>
  <fonts count="71"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  <font>
      <i/>
      <sz val="12"/>
      <color rgb="FF7F7F7F"/>
      <name val="Arial"/>
      <family val="2"/>
      <scheme val="minor"/>
    </font>
    <font>
      <u/>
      <sz val="10"/>
      <color theme="10"/>
      <name val="Arial"/>
      <family val="2"/>
      <scheme val="minor"/>
    </font>
    <font>
      <u/>
      <sz val="10"/>
      <color theme="11"/>
      <name val="Arial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FFFFFF"/>
      <name val="Calibri"/>
      <family val="2"/>
    </font>
    <font>
      <sz val="12"/>
      <name val="Calibri"/>
      <family val="2"/>
    </font>
    <font>
      <sz val="1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u/>
      <sz val="18"/>
      <name val="Arial"/>
      <family val="2"/>
      <scheme val="minor"/>
    </font>
    <font>
      <b/>
      <sz val="10"/>
      <name val="Arial"/>
      <family val="2"/>
      <scheme val="minor"/>
    </font>
    <font>
      <b/>
      <sz val="18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0"/>
      <name val="Calibri"/>
      <family val="2"/>
    </font>
    <font>
      <b/>
      <sz val="12"/>
      <color rgb="FFF6672D"/>
      <name val="Arial"/>
      <family val="2"/>
      <scheme val="minor"/>
    </font>
    <font>
      <b/>
      <sz val="24"/>
      <color rgb="FFF6672D"/>
      <name val="Arial"/>
      <family val="2"/>
      <scheme val="minor"/>
    </font>
    <font>
      <b/>
      <sz val="17"/>
      <color rgb="FFF6672D"/>
      <name val="Arial"/>
      <family val="2"/>
      <scheme val="minor"/>
    </font>
    <font>
      <b/>
      <sz val="10"/>
      <color rgb="FFF6672D"/>
      <name val="Arial"/>
      <family val="2"/>
      <scheme val="minor"/>
    </font>
    <font>
      <b/>
      <sz val="12"/>
      <color rgb="FFF6672D"/>
      <name val="Arial"/>
      <family val="2"/>
      <scheme val="major"/>
    </font>
    <font>
      <b/>
      <sz val="12"/>
      <color rgb="FF82C755"/>
      <name val="Arial"/>
      <family val="2"/>
      <scheme val="minor"/>
    </font>
    <font>
      <sz val="10"/>
      <color rgb="FF82C755"/>
      <name val="Arial"/>
      <family val="2"/>
      <scheme val="minor"/>
    </font>
    <font>
      <b/>
      <sz val="12"/>
      <color rgb="FFA26BB1"/>
      <name val="Arial"/>
      <family val="2"/>
      <scheme val="minor"/>
    </font>
    <font>
      <sz val="10"/>
      <color rgb="FFA26BB1"/>
      <name val="Arial"/>
      <family val="2"/>
      <scheme val="minor"/>
    </font>
    <font>
      <b/>
      <sz val="12"/>
      <color rgb="FF34C2CF"/>
      <name val="Arial"/>
      <family val="2"/>
      <scheme val="minor"/>
    </font>
    <font>
      <sz val="10"/>
      <color rgb="FF34C2CF"/>
      <name val="Arial"/>
      <family val="2"/>
      <scheme val="minor"/>
    </font>
    <font>
      <b/>
      <sz val="18"/>
      <color rgb="FFF6672D"/>
      <name val="Arial"/>
      <family val="2"/>
      <scheme val="minor"/>
    </font>
    <font>
      <b/>
      <sz val="18"/>
      <color rgb="FF34C2CF"/>
      <name val="Arial (Body)"/>
    </font>
    <font>
      <b/>
      <sz val="18"/>
      <color rgb="FF82C755"/>
      <name val="Arial"/>
      <family val="2"/>
      <scheme val="minor"/>
    </font>
    <font>
      <b/>
      <sz val="18"/>
      <color rgb="FFA26BB1"/>
      <name val="Arial"/>
      <family val="2"/>
      <scheme val="minor"/>
    </font>
    <font>
      <b/>
      <sz val="24"/>
      <color rgb="FF34C2CF"/>
      <name val="Arial"/>
      <family val="2"/>
      <scheme val="minor"/>
    </font>
    <font>
      <b/>
      <sz val="17"/>
      <color rgb="FF34C2CF"/>
      <name val="Arial"/>
      <family val="2"/>
      <scheme val="minor"/>
    </font>
    <font>
      <b/>
      <sz val="12"/>
      <color rgb="FF34C2CF"/>
      <name val="Arial"/>
      <family val="2"/>
      <scheme val="major"/>
    </font>
    <font>
      <b/>
      <sz val="10"/>
      <color rgb="FF34C2CF"/>
      <name val="Arial"/>
      <family val="2"/>
      <scheme val="minor"/>
    </font>
    <font>
      <sz val="12"/>
      <color rgb="FF34C2CF"/>
      <name val="Arial"/>
      <family val="2"/>
      <scheme val="major"/>
    </font>
    <font>
      <b/>
      <sz val="24"/>
      <color rgb="FF82C755"/>
      <name val="Arial"/>
      <family val="2"/>
      <scheme val="minor"/>
    </font>
    <font>
      <b/>
      <sz val="17"/>
      <color rgb="FF82C755"/>
      <name val="Arial"/>
      <family val="2"/>
      <scheme val="minor"/>
    </font>
    <font>
      <b/>
      <sz val="12"/>
      <color rgb="FF82C755"/>
      <name val="Arial"/>
      <family val="2"/>
      <scheme val="major"/>
    </font>
    <font>
      <b/>
      <sz val="10"/>
      <color rgb="FF82C755"/>
      <name val="Arial"/>
      <family val="2"/>
      <scheme val="minor"/>
    </font>
    <font>
      <b/>
      <sz val="12"/>
      <color rgb="FF39B5D4"/>
      <name val="Arial"/>
      <family val="2"/>
      <scheme val="minor"/>
    </font>
    <font>
      <sz val="10"/>
      <color rgb="FFFFFFFF"/>
      <name val="Arial"/>
      <family val="2"/>
      <scheme val="minor"/>
    </font>
    <font>
      <b/>
      <sz val="24"/>
      <color rgb="FFA26BB1"/>
      <name val="Arial"/>
      <family val="2"/>
      <scheme val="minor"/>
    </font>
    <font>
      <b/>
      <sz val="17"/>
      <color rgb="FFA26BB1"/>
      <name val="Arial"/>
      <family val="2"/>
      <scheme val="minor"/>
    </font>
    <font>
      <b/>
      <sz val="12"/>
      <color rgb="FFA26BB1"/>
      <name val="Arial"/>
      <family val="2"/>
      <scheme val="major"/>
    </font>
    <font>
      <b/>
      <sz val="10"/>
      <color rgb="FFA26BB1"/>
      <name val="Arial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6672D"/>
        <bgColor indexed="64"/>
      </patternFill>
    </fill>
    <fill>
      <patternFill patternType="solid">
        <fgColor rgb="FF34C2CF"/>
        <bgColor indexed="64"/>
      </patternFill>
    </fill>
    <fill>
      <patternFill patternType="solid">
        <fgColor rgb="FF82C755"/>
        <bgColor indexed="64"/>
      </patternFill>
    </fill>
    <fill>
      <patternFill patternType="solid">
        <fgColor rgb="FFA26BB1"/>
        <bgColor indexed="64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  <fill>
      <patternFill patternType="solid">
        <fgColor rgb="FF34C2CF"/>
        <bgColor rgb="FF000000"/>
      </patternFill>
    </fill>
    <fill>
      <patternFill patternType="solid">
        <fgColor rgb="FFA26BB1"/>
        <bgColor rgb="FF000000"/>
      </patternFill>
    </fill>
    <fill>
      <patternFill patternType="solid">
        <fgColor rgb="FF82C755"/>
        <bgColor rgb="FF000000"/>
      </patternFill>
    </fill>
  </fills>
  <borders count="6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rgb="FFF6672D"/>
      </bottom>
      <diagonal/>
    </border>
    <border>
      <left style="thin">
        <color theme="0"/>
      </left>
      <right/>
      <top/>
      <bottom style="thin">
        <color rgb="FFF6672D"/>
      </bottom>
      <diagonal/>
    </border>
    <border>
      <left/>
      <right style="thin">
        <color theme="0"/>
      </right>
      <top/>
      <bottom style="thin">
        <color rgb="FFF6672D"/>
      </bottom>
      <diagonal/>
    </border>
    <border>
      <left style="thin">
        <color theme="0"/>
      </left>
      <right style="thin">
        <color theme="0"/>
      </right>
      <top/>
      <bottom style="thin">
        <color rgb="FFF6672D"/>
      </bottom>
      <diagonal/>
    </border>
    <border>
      <left/>
      <right style="thin">
        <color theme="4" tint="0.79992065187536243"/>
      </right>
      <top/>
      <bottom style="thin">
        <color rgb="FFF6672D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D7F0F7"/>
      </left>
      <right/>
      <top/>
      <bottom/>
      <diagonal/>
    </border>
    <border>
      <left/>
      <right style="thin">
        <color rgb="FFD7F0F7"/>
      </right>
      <top/>
      <bottom/>
      <diagonal/>
    </border>
    <border>
      <left style="thin">
        <color rgb="FFD7F0F7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D7F0F7"/>
      </right>
      <top style="thin">
        <color theme="4" tint="0.79995117038483843"/>
      </top>
      <bottom/>
      <diagonal/>
    </border>
  </borders>
  <cellStyleXfs count="388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30" fillId="0" borderId="47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0" borderId="8" xfId="0" applyFont="1" applyBorder="1"/>
    <xf numFmtId="0" fontId="0" fillId="0" borderId="15" xfId="0" applyFont="1" applyBorder="1"/>
    <xf numFmtId="164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textRotation="90"/>
    </xf>
    <xf numFmtId="164" fontId="2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7" fillId="0" borderId="0" xfId="4" applyBorder="1" applyAlignment="1">
      <alignment horizontal="left" vertical="center"/>
    </xf>
    <xf numFmtId="164" fontId="10" fillId="2" borderId="11" xfId="0" applyNumberFormat="1" applyFont="1" applyFill="1" applyBorder="1" applyAlignment="1">
      <alignment horizontal="center" vertical="top"/>
    </xf>
    <xf numFmtId="0" fontId="25" fillId="0" borderId="0" xfId="99" applyFont="1" applyAlignment="1">
      <alignment wrapText="1"/>
    </xf>
    <xf numFmtId="0" fontId="24" fillId="0" borderId="0" xfId="99" applyFont="1" applyAlignment="1"/>
    <xf numFmtId="0" fontId="26" fillId="7" borderId="0" xfId="99" applyFont="1" applyFill="1" applyAlignment="1">
      <alignment horizontal="center" wrapText="1"/>
    </xf>
    <xf numFmtId="0" fontId="26" fillId="0" borderId="0" xfId="99" applyFont="1" applyAlignment="1">
      <alignment wrapText="1"/>
    </xf>
    <xf numFmtId="0" fontId="26" fillId="0" borderId="0" xfId="99" applyFont="1" applyAlignment="1"/>
    <xf numFmtId="0" fontId="25" fillId="9" borderId="0" xfId="99" applyFont="1" applyFill="1" applyAlignment="1">
      <alignment wrapText="1"/>
    </xf>
    <xf numFmtId="0" fontId="25" fillId="9" borderId="0" xfId="99" applyFont="1" applyFill="1"/>
    <xf numFmtId="0" fontId="27" fillId="10" borderId="0" xfId="99" applyFont="1" applyFill="1" applyAlignment="1">
      <alignment wrapText="1"/>
    </xf>
    <xf numFmtId="0" fontId="28" fillId="0" borderId="0" xfId="99" applyFont="1" applyAlignment="1">
      <alignment horizontal="center"/>
    </xf>
    <xf numFmtId="0" fontId="28" fillId="9" borderId="0" xfId="99" applyFont="1" applyFill="1" applyAlignment="1">
      <alignment horizontal="center"/>
    </xf>
    <xf numFmtId="0" fontId="27" fillId="0" borderId="0" xfId="99" applyFont="1" applyFill="1" applyAlignment="1">
      <alignment wrapText="1"/>
    </xf>
    <xf numFmtId="0" fontId="25" fillId="0" borderId="0" xfId="99" applyFont="1" applyFill="1" applyAlignment="1">
      <alignment wrapText="1"/>
    </xf>
    <xf numFmtId="0" fontId="28" fillId="0" borderId="0" xfId="99" applyFont="1" applyFill="1" applyAlignment="1">
      <alignment horizontal="center"/>
    </xf>
    <xf numFmtId="0" fontId="24" fillId="0" borderId="0" xfId="99" applyFont="1" applyFill="1" applyAlignment="1"/>
    <xf numFmtId="0" fontId="25" fillId="0" borderId="0" xfId="99" applyFont="1"/>
    <xf numFmtId="0" fontId="29" fillId="0" borderId="0" xfId="99" applyFont="1" applyBorder="1"/>
    <xf numFmtId="0" fontId="29" fillId="0" borderId="0" xfId="99" applyFont="1"/>
    <xf numFmtId="0" fontId="29" fillId="0" borderId="0" xfId="100" applyNumberFormat="1" applyFont="1" applyBorder="1" applyAlignment="1"/>
    <xf numFmtId="0" fontId="29" fillId="0" borderId="0" xfId="6" applyNumberFormat="1" applyFont="1" applyBorder="1" applyAlignment="1"/>
    <xf numFmtId="8" fontId="33" fillId="0" borderId="0" xfId="100" applyNumberFormat="1" applyFont="1" applyBorder="1" applyAlignment="1">
      <alignment horizontal="center" vertical="center"/>
    </xf>
    <xf numFmtId="0" fontId="33" fillId="0" borderId="0" xfId="100" applyNumberFormat="1" applyFont="1" applyBorder="1" applyAlignment="1">
      <alignment horizontal="center" vertical="center"/>
    </xf>
    <xf numFmtId="0" fontId="29" fillId="0" borderId="48" xfId="99" applyFont="1" applyBorder="1" applyAlignment="1">
      <alignment vertical="center"/>
    </xf>
    <xf numFmtId="0" fontId="29" fillId="0" borderId="48" xfId="99" applyNumberFormat="1" applyFont="1" applyFill="1" applyBorder="1" applyAlignment="1">
      <alignment horizontal="left" vertical="center" wrapText="1"/>
    </xf>
    <xf numFmtId="8" fontId="29" fillId="0" borderId="48" xfId="99" applyNumberFormat="1" applyFont="1" applyFill="1" applyBorder="1" applyAlignment="1">
      <alignment horizontal="center" vertical="center"/>
    </xf>
    <xf numFmtId="0" fontId="29" fillId="0" borderId="48" xfId="99" applyFont="1" applyBorder="1" applyAlignment="1">
      <alignment vertical="center" wrapText="1"/>
    </xf>
    <xf numFmtId="0" fontId="24" fillId="0" borderId="0" xfId="99" applyFont="1" applyAlignment="1">
      <alignment vertical="center"/>
    </xf>
    <xf numFmtId="0" fontId="32" fillId="0" borderId="0" xfId="99" applyFont="1" applyBorder="1" applyAlignment="1">
      <alignment horizontal="center" vertical="center"/>
    </xf>
    <xf numFmtId="8" fontId="29" fillId="0" borderId="48" xfId="99" applyNumberFormat="1" applyFont="1" applyBorder="1" applyAlignment="1">
      <alignment horizontal="center" vertical="center"/>
    </xf>
    <xf numFmtId="0" fontId="29" fillId="0" borderId="48" xfId="99" applyNumberFormat="1" applyFont="1" applyBorder="1" applyAlignment="1">
      <alignment horizontal="left" vertical="center" wrapText="1"/>
    </xf>
    <xf numFmtId="0" fontId="29" fillId="0" borderId="0" xfId="99" applyFont="1" applyAlignment="1">
      <alignment vertical="center"/>
    </xf>
    <xf numFmtId="8" fontId="29" fillId="0" borderId="0" xfId="99" applyNumberFormat="1" applyFont="1"/>
    <xf numFmtId="0" fontId="35" fillId="3" borderId="48" xfId="101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right" vertical="center" textRotation="90"/>
    </xf>
    <xf numFmtId="0" fontId="40" fillId="0" borderId="0" xfId="0" applyFont="1" applyBorder="1" applyAlignment="1">
      <alignment horizontal="right" vertical="center"/>
    </xf>
    <xf numFmtId="0" fontId="40" fillId="0" borderId="3" xfId="0" applyFont="1" applyBorder="1" applyAlignment="1">
      <alignment horizontal="right" vertical="center"/>
    </xf>
    <xf numFmtId="0" fontId="8" fillId="3" borderId="7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44" xfId="0" applyNumberFormat="1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 vertical="top"/>
    </xf>
    <xf numFmtId="164" fontId="10" fillId="2" borderId="45" xfId="0" applyNumberFormat="1" applyFont="1" applyFill="1" applyBorder="1" applyAlignment="1">
      <alignment horizontal="center" vertical="top"/>
    </xf>
    <xf numFmtId="164" fontId="10" fillId="2" borderId="26" xfId="0" applyNumberFormat="1" applyFont="1" applyFill="1" applyBorder="1" applyAlignment="1">
      <alignment horizontal="center" vertical="top"/>
    </xf>
    <xf numFmtId="49" fontId="9" fillId="2" borderId="46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/>
    </xf>
    <xf numFmtId="49" fontId="9" fillId="2" borderId="46" xfId="0" applyNumberFormat="1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top"/>
    </xf>
    <xf numFmtId="49" fontId="11" fillId="2" borderId="15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top"/>
    </xf>
    <xf numFmtId="49" fontId="9" fillId="2" borderId="27" xfId="0" applyNumberFormat="1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top"/>
    </xf>
    <xf numFmtId="164" fontId="10" fillId="2" borderId="54" xfId="0" applyNumberFormat="1" applyFont="1" applyFill="1" applyBorder="1" applyAlignment="1">
      <alignment horizontal="center" vertical="top"/>
    </xf>
    <xf numFmtId="164" fontId="10" fillId="2" borderId="55" xfId="0" applyNumberFormat="1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/>
    </xf>
    <xf numFmtId="0" fontId="35" fillId="0" borderId="56" xfId="10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164" fontId="10" fillId="2" borderId="22" xfId="0" applyNumberFormat="1" applyFont="1" applyFill="1" applyBorder="1" applyAlignment="1">
      <alignment horizontal="center" vertical="top"/>
    </xf>
    <xf numFmtId="0" fontId="35" fillId="3" borderId="50" xfId="101" applyNumberFormat="1" applyFont="1" applyFill="1" applyBorder="1" applyAlignment="1">
      <alignment horizontal="center" vertical="center"/>
    </xf>
    <xf numFmtId="8" fontId="35" fillId="3" borderId="50" xfId="101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/>
    </xf>
    <xf numFmtId="0" fontId="35" fillId="0" borderId="0" xfId="101" applyNumberFormat="1" applyFont="1" applyFill="1" applyBorder="1" applyAlignment="1">
      <alignment horizontal="center" vertical="center"/>
    </xf>
    <xf numFmtId="0" fontId="29" fillId="0" borderId="0" xfId="99" applyFont="1" applyBorder="1" applyAlignment="1">
      <alignment vertical="center"/>
    </xf>
    <xf numFmtId="0" fontId="29" fillId="0" borderId="0" xfId="99" applyNumberFormat="1" applyFont="1" applyFill="1" applyBorder="1" applyAlignment="1">
      <alignment horizontal="left" vertical="center" wrapText="1"/>
    </xf>
    <xf numFmtId="8" fontId="29" fillId="0" borderId="0" xfId="99" applyNumberFormat="1" applyFont="1" applyFill="1" applyBorder="1" applyAlignment="1">
      <alignment horizontal="center" vertical="center"/>
    </xf>
    <xf numFmtId="0" fontId="29" fillId="0" borderId="0" xfId="99" applyFont="1" applyBorder="1" applyAlignment="1">
      <alignment vertical="center" wrapText="1"/>
    </xf>
    <xf numFmtId="8" fontId="35" fillId="0" borderId="0" xfId="101" applyNumberFormat="1" applyFont="1" applyFill="1" applyBorder="1" applyAlignment="1">
      <alignment horizontal="center" vertical="center"/>
    </xf>
    <xf numFmtId="8" fontId="48" fillId="0" borderId="0" xfId="100" applyNumberFormat="1" applyFont="1" applyBorder="1" applyAlignment="1">
      <alignment horizontal="center" vertical="center"/>
    </xf>
    <xf numFmtId="0" fontId="35" fillId="4" borderId="48" xfId="101" applyNumberFormat="1" applyFont="1" applyFill="1" applyBorder="1" applyAlignment="1">
      <alignment horizontal="center" vertical="center"/>
    </xf>
    <xf numFmtId="8" fontId="49" fillId="0" borderId="0" xfId="100" applyNumberFormat="1" applyFont="1" applyBorder="1" applyAlignment="1">
      <alignment horizontal="center" vertical="center"/>
    </xf>
    <xf numFmtId="0" fontId="36" fillId="11" borderId="48" xfId="99" applyFont="1" applyFill="1" applyBorder="1" applyAlignment="1">
      <alignment horizontal="center" vertical="center"/>
    </xf>
    <xf numFmtId="8" fontId="36" fillId="11" borderId="49" xfId="99" applyNumberFormat="1" applyFont="1" applyFill="1" applyBorder="1" applyAlignment="1">
      <alignment horizontal="center" vertical="center"/>
    </xf>
    <xf numFmtId="0" fontId="35" fillId="5" borderId="48" xfId="101" applyNumberFormat="1" applyFont="1" applyFill="1" applyBorder="1" applyAlignment="1">
      <alignment horizontal="center" vertical="center"/>
    </xf>
    <xf numFmtId="8" fontId="50" fillId="0" borderId="0" xfId="0" applyNumberFormat="1" applyFont="1" applyAlignment="1">
      <alignment horizontal="center" vertical="center"/>
    </xf>
    <xf numFmtId="8" fontId="35" fillId="5" borderId="48" xfId="101" applyNumberFormat="1" applyFont="1" applyFill="1" applyBorder="1" applyAlignment="1">
      <alignment horizontal="center" vertical="center"/>
    </xf>
    <xf numFmtId="8" fontId="51" fillId="0" borderId="0" xfId="0" applyNumberFormat="1" applyFont="1" applyAlignment="1">
      <alignment horizontal="center" vertical="center"/>
    </xf>
    <xf numFmtId="0" fontId="35" fillId="6" borderId="48" xfId="101" applyNumberFormat="1" applyFont="1" applyFill="1" applyBorder="1" applyAlignment="1">
      <alignment horizontal="center" vertical="center"/>
    </xf>
    <xf numFmtId="0" fontId="36" fillId="12" borderId="48" xfId="99" applyFont="1" applyFill="1" applyBorder="1" applyAlignment="1">
      <alignment horizontal="center" vertical="center"/>
    </xf>
    <xf numFmtId="8" fontId="36" fillId="12" borderId="49" xfId="99" applyNumberFormat="1" applyFont="1" applyFill="1" applyBorder="1" applyAlignment="1">
      <alignment horizontal="center" vertical="center"/>
    </xf>
    <xf numFmtId="0" fontId="35" fillId="0" borderId="0" xfId="101" applyNumberFormat="1" applyFont="1" applyFill="1" applyBorder="1" applyAlignment="1">
      <alignment vertical="center"/>
    </xf>
    <xf numFmtId="8" fontId="35" fillId="0" borderId="0" xfId="101" applyNumberFormat="1" applyFont="1" applyFill="1" applyBorder="1" applyAlignment="1">
      <alignment vertical="center"/>
    </xf>
    <xf numFmtId="0" fontId="54" fillId="0" borderId="0" xfId="0" applyFont="1" applyBorder="1" applyAlignment="1">
      <alignment horizontal="right" vertical="center" textRotation="90"/>
    </xf>
    <xf numFmtId="0" fontId="55" fillId="0" borderId="0" xfId="0" applyFont="1" applyBorder="1" applyAlignment="1">
      <alignment horizontal="right" vertical="center"/>
    </xf>
    <xf numFmtId="0" fontId="55" fillId="0" borderId="3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 textRotation="90"/>
    </xf>
    <xf numFmtId="0" fontId="8" fillId="4" borderId="7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59" fillId="0" borderId="0" xfId="0" applyFont="1" applyBorder="1" applyAlignment="1">
      <alignment horizontal="right" vertical="center" textRotation="90"/>
    </xf>
    <xf numFmtId="0" fontId="60" fillId="0" borderId="0" xfId="0" applyFont="1" applyBorder="1" applyAlignment="1">
      <alignment horizontal="right" vertical="center"/>
    </xf>
    <xf numFmtId="0" fontId="60" fillId="0" borderId="3" xfId="0" applyFont="1" applyBorder="1" applyAlignment="1">
      <alignment horizontal="right" vertical="center"/>
    </xf>
    <xf numFmtId="0" fontId="0" fillId="0" borderId="59" xfId="0" applyBorder="1"/>
    <xf numFmtId="0" fontId="0" fillId="0" borderId="58" xfId="0" applyBorder="1"/>
    <xf numFmtId="0" fontId="61" fillId="0" borderId="0" xfId="0" applyFont="1" applyAlignment="1">
      <alignment horizontal="left" vertical="center"/>
    </xf>
    <xf numFmtId="0" fontId="62" fillId="13" borderId="60" xfId="0" applyFont="1" applyFill="1" applyBorder="1" applyAlignment="1">
      <alignment horizontal="center"/>
    </xf>
    <xf numFmtId="0" fontId="62" fillId="13" borderId="0" xfId="0" applyFont="1" applyFill="1" applyAlignment="1">
      <alignment horizontal="center"/>
    </xf>
    <xf numFmtId="0" fontId="62" fillId="13" borderId="62" xfId="0" applyFont="1" applyFill="1" applyBorder="1" applyAlignment="1">
      <alignment horizontal="center"/>
    </xf>
    <xf numFmtId="0" fontId="65" fillId="0" borderId="0" xfId="0" applyFont="1" applyBorder="1" applyAlignment="1">
      <alignment horizontal="right" vertical="center" textRotation="90"/>
    </xf>
    <xf numFmtId="0" fontId="66" fillId="0" borderId="0" xfId="0" applyFont="1" applyBorder="1" applyAlignment="1">
      <alignment horizontal="right" vertical="center"/>
    </xf>
    <xf numFmtId="0" fontId="66" fillId="0" borderId="3" xfId="0" applyFont="1" applyBorder="1" applyAlignment="1">
      <alignment horizontal="right" vertical="center"/>
    </xf>
    <xf numFmtId="0" fontId="8" fillId="6" borderId="7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67" fillId="0" borderId="0" xfId="0" applyFont="1" applyAlignment="1">
      <alignment horizontal="justify" vertical="center"/>
    </xf>
    <xf numFmtId="0" fontId="68" fillId="0" borderId="0" xfId="0" applyFont="1" applyAlignment="1">
      <alignment horizontal="left" vertical="center" indent="4"/>
    </xf>
    <xf numFmtId="0" fontId="68" fillId="0" borderId="0" xfId="0" applyFont="1" applyAlignment="1">
      <alignment horizontal="justify" vertical="center"/>
    </xf>
    <xf numFmtId="0" fontId="1" fillId="0" borderId="0" xfId="0" applyFont="1"/>
    <xf numFmtId="0" fontId="26" fillId="8" borderId="0" xfId="99" applyFont="1" applyFill="1" applyAlignment="1">
      <alignment horizontal="center"/>
    </xf>
    <xf numFmtId="0" fontId="24" fillId="0" borderId="0" xfId="99" applyFont="1" applyAlignment="1"/>
    <xf numFmtId="0" fontId="25" fillId="3" borderId="0" xfId="99" applyFont="1" applyFill="1" applyAlignment="1">
      <alignment horizontal="center"/>
    </xf>
    <xf numFmtId="0" fontId="25" fillId="4" borderId="0" xfId="99" applyFont="1" applyFill="1" applyAlignment="1">
      <alignment horizontal="center"/>
    </xf>
    <xf numFmtId="0" fontId="25" fillId="5" borderId="0" xfId="99" applyFont="1" applyFill="1" applyAlignment="1">
      <alignment horizontal="center"/>
    </xf>
    <xf numFmtId="0" fontId="25" fillId="6" borderId="0" xfId="99" applyFont="1" applyFill="1" applyAlignment="1">
      <alignment horizontal="center"/>
    </xf>
    <xf numFmtId="0" fontId="26" fillId="7" borderId="0" xfId="99" applyFont="1" applyFill="1" applyAlignment="1">
      <alignment horizontal="center"/>
    </xf>
    <xf numFmtId="8" fontId="33" fillId="0" borderId="0" xfId="100" applyNumberFormat="1" applyFont="1" applyBorder="1" applyAlignment="1">
      <alignment horizontal="center" vertical="center"/>
    </xf>
    <xf numFmtId="0" fontId="31" fillId="0" borderId="0" xfId="100" applyNumberFormat="1" applyFont="1" applyBorder="1" applyAlignment="1">
      <alignment horizontal="center"/>
    </xf>
    <xf numFmtId="0" fontId="32" fillId="0" borderId="0" xfId="99" applyFont="1" applyBorder="1" applyAlignment="1">
      <alignment horizontal="left"/>
    </xf>
    <xf numFmtId="0" fontId="32" fillId="0" borderId="0" xfId="99" applyFont="1" applyAlignment="1">
      <alignment horizontal="left" wrapText="1"/>
    </xf>
    <xf numFmtId="0" fontId="70" fillId="3" borderId="0" xfId="0" applyFont="1" applyFill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52" xfId="0" applyNumberFormat="1" applyFont="1" applyFill="1" applyBorder="1" applyAlignment="1">
      <alignment horizontal="center" vertical="center"/>
    </xf>
    <xf numFmtId="49" fontId="9" fillId="2" borderId="53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9" fontId="9" fillId="2" borderId="21" xfId="0" applyNumberFormat="1" applyFont="1" applyFill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49" fontId="9" fillId="2" borderId="24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45" fillId="0" borderId="2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38" fillId="0" borderId="6" xfId="2" applyFont="1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37" fillId="0" borderId="6" xfId="4" applyFont="1" applyBorder="1" applyAlignment="1">
      <alignment horizontal="left" vertical="center"/>
    </xf>
    <xf numFmtId="0" fontId="37" fillId="0" borderId="0" xfId="4" applyFont="1" applyAlignment="1">
      <alignment horizontal="left" vertical="center"/>
    </xf>
    <xf numFmtId="0" fontId="37" fillId="0" borderId="15" xfId="4" applyFont="1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0" fillId="2" borderId="11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52" xfId="0" applyFont="1" applyFill="1" applyBorder="1" applyAlignment="1">
      <alignment horizontal="center" vertical="top"/>
    </xf>
    <xf numFmtId="0" fontId="10" fillId="2" borderId="53" xfId="0" applyFont="1" applyFill="1" applyBorder="1" applyAlignment="1">
      <alignment horizontal="center" vertical="top"/>
    </xf>
    <xf numFmtId="0" fontId="43" fillId="0" borderId="2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49" fontId="9" fillId="2" borderId="24" xfId="0" applyNumberFormat="1" applyFont="1" applyFill="1" applyBorder="1" applyAlignment="1">
      <alignment horizontal="center"/>
    </xf>
    <xf numFmtId="49" fontId="9" fillId="2" borderId="25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 vertical="top"/>
    </xf>
    <xf numFmtId="0" fontId="37" fillId="0" borderId="35" xfId="5" applyFont="1" applyBorder="1" applyAlignment="1">
      <alignment vertical="top"/>
    </xf>
    <xf numFmtId="0" fontId="37" fillId="0" borderId="28" xfId="5" applyFont="1" applyBorder="1" applyAlignment="1">
      <alignment vertical="top"/>
    </xf>
    <xf numFmtId="0" fontId="39" fillId="0" borderId="32" xfId="3" applyFont="1" applyBorder="1" applyAlignment="1">
      <alignment horizontal="left" vertical="center"/>
    </xf>
    <xf numFmtId="0" fontId="39" fillId="0" borderId="33" xfId="3" applyFont="1" applyBorder="1" applyAlignment="1">
      <alignment horizontal="left" vertical="center"/>
    </xf>
    <xf numFmtId="0" fontId="39" fillId="0" borderId="29" xfId="3" applyFont="1" applyBorder="1" applyAlignment="1">
      <alignment horizontal="left" vertical="center"/>
    </xf>
    <xf numFmtId="0" fontId="39" fillId="0" borderId="30" xfId="3" applyFont="1" applyBorder="1" applyAlignment="1">
      <alignment horizontal="left" vertical="center"/>
    </xf>
    <xf numFmtId="0" fontId="37" fillId="0" borderId="32" xfId="5" applyFont="1" applyBorder="1" applyAlignment="1">
      <alignment vertical="top"/>
    </xf>
    <xf numFmtId="0" fontId="47" fillId="0" borderId="2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39" fillId="0" borderId="34" xfId="3" applyFont="1" applyFill="1" applyBorder="1" applyAlignment="1">
      <alignment horizontal="center" vertical="center"/>
    </xf>
    <xf numFmtId="0" fontId="39" fillId="0" borderId="31" xfId="3" applyFont="1" applyFill="1" applyBorder="1" applyAlignment="1">
      <alignment horizontal="center" vertical="center"/>
    </xf>
    <xf numFmtId="0" fontId="37" fillId="0" borderId="0" xfId="5" applyFont="1" applyBorder="1" applyAlignment="1">
      <alignment vertical="top"/>
    </xf>
    <xf numFmtId="0" fontId="39" fillId="0" borderId="42" xfId="3" applyFont="1" applyBorder="1" applyAlignment="1">
      <alignment horizontal="center" vertical="center"/>
    </xf>
    <xf numFmtId="0" fontId="39" fillId="0" borderId="43" xfId="3" applyFont="1" applyBorder="1" applyAlignment="1">
      <alignment horizontal="center" vertical="center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70" fillId="4" borderId="0" xfId="0" applyFont="1" applyFill="1" applyAlignment="1">
      <alignment horizontal="center" vertical="center"/>
    </xf>
    <xf numFmtId="0" fontId="46" fillId="0" borderId="35" xfId="5" applyFont="1" applyBorder="1" applyAlignment="1">
      <alignment vertical="top"/>
    </xf>
    <xf numFmtId="0" fontId="46" fillId="0" borderId="28" xfId="5" applyFont="1" applyBorder="1" applyAlignment="1">
      <alignment vertical="top"/>
    </xf>
    <xf numFmtId="0" fontId="53" fillId="0" borderId="42" xfId="3" applyFont="1" applyBorder="1" applyAlignment="1">
      <alignment horizontal="center" vertical="center"/>
    </xf>
    <xf numFmtId="0" fontId="53" fillId="0" borderId="43" xfId="3" applyFont="1" applyBorder="1" applyAlignment="1">
      <alignment horizontal="center" vertical="center"/>
    </xf>
    <xf numFmtId="0" fontId="46" fillId="0" borderId="6" xfId="4" applyFont="1" applyBorder="1" applyAlignment="1">
      <alignment horizontal="left" vertical="center"/>
    </xf>
    <xf numFmtId="0" fontId="46" fillId="0" borderId="0" xfId="4" applyFont="1" applyAlignment="1">
      <alignment horizontal="left" vertical="center"/>
    </xf>
    <xf numFmtId="0" fontId="46" fillId="0" borderId="15" xfId="4" applyFont="1" applyBorder="1" applyAlignment="1">
      <alignment horizontal="left" vertical="center"/>
    </xf>
    <xf numFmtId="0" fontId="8" fillId="4" borderId="9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52" fillId="0" borderId="6" xfId="2" applyFont="1" applyFill="1" applyBorder="1" applyAlignment="1">
      <alignment vertical="top"/>
    </xf>
    <xf numFmtId="0" fontId="53" fillId="0" borderId="32" xfId="3" applyFont="1" applyBorder="1" applyAlignment="1">
      <alignment horizontal="left" vertical="center"/>
    </xf>
    <xf numFmtId="0" fontId="53" fillId="0" borderId="33" xfId="3" applyFont="1" applyBorder="1" applyAlignment="1">
      <alignment horizontal="left" vertical="center"/>
    </xf>
    <xf numFmtId="0" fontId="53" fillId="0" borderId="29" xfId="3" applyFont="1" applyBorder="1" applyAlignment="1">
      <alignment horizontal="left" vertical="center"/>
    </xf>
    <xf numFmtId="0" fontId="53" fillId="0" borderId="30" xfId="3" applyFont="1" applyBorder="1" applyAlignment="1">
      <alignment horizontal="left" vertical="center"/>
    </xf>
    <xf numFmtId="0" fontId="46" fillId="0" borderId="32" xfId="5" applyFont="1" applyBorder="1" applyAlignment="1">
      <alignment vertical="top"/>
    </xf>
    <xf numFmtId="0" fontId="70" fillId="5" borderId="0" xfId="0" applyFont="1" applyFill="1" applyAlignment="1">
      <alignment horizontal="center" vertical="center"/>
    </xf>
    <xf numFmtId="0" fontId="42" fillId="0" borderId="35" xfId="5" applyFont="1" applyBorder="1" applyAlignment="1">
      <alignment vertical="top"/>
    </xf>
    <xf numFmtId="0" fontId="42" fillId="0" borderId="28" xfId="5" applyFont="1" applyBorder="1" applyAlignment="1">
      <alignment vertical="top"/>
    </xf>
    <xf numFmtId="0" fontId="58" fillId="0" borderId="42" xfId="3" applyFont="1" applyBorder="1" applyAlignment="1">
      <alignment horizontal="center" vertical="center"/>
    </xf>
    <xf numFmtId="0" fontId="58" fillId="0" borderId="43" xfId="3" applyFont="1" applyBorder="1" applyAlignment="1">
      <alignment horizontal="center" vertical="center"/>
    </xf>
    <xf numFmtId="0" fontId="42" fillId="0" borderId="6" xfId="4" applyFont="1" applyBorder="1" applyAlignment="1">
      <alignment horizontal="left" vertical="center"/>
    </xf>
    <xf numFmtId="0" fontId="42" fillId="0" borderId="0" xfId="4" applyFont="1" applyAlignment="1">
      <alignment horizontal="left" vertical="center"/>
    </xf>
    <xf numFmtId="0" fontId="42" fillId="0" borderId="15" xfId="4" applyFont="1" applyBorder="1" applyAlignment="1">
      <alignment horizontal="left" vertical="center"/>
    </xf>
    <xf numFmtId="0" fontId="8" fillId="5" borderId="9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57" fillId="0" borderId="6" xfId="2" applyFont="1" applyFill="1" applyBorder="1" applyAlignment="1">
      <alignment vertical="top"/>
    </xf>
    <xf numFmtId="0" fontId="58" fillId="0" borderId="32" xfId="3" applyFont="1" applyBorder="1" applyAlignment="1">
      <alignment horizontal="left" vertical="center"/>
    </xf>
    <xf numFmtId="0" fontId="58" fillId="0" borderId="33" xfId="3" applyFont="1" applyBorder="1" applyAlignment="1">
      <alignment horizontal="left" vertical="center"/>
    </xf>
    <xf numFmtId="0" fontId="58" fillId="0" borderId="29" xfId="3" applyFont="1" applyBorder="1" applyAlignment="1">
      <alignment horizontal="left" vertical="center"/>
    </xf>
    <xf numFmtId="0" fontId="58" fillId="0" borderId="30" xfId="3" applyFont="1" applyBorder="1" applyAlignment="1">
      <alignment horizontal="left" vertical="center"/>
    </xf>
    <xf numFmtId="0" fontId="42" fillId="0" borderId="32" xfId="5" applyFont="1" applyBorder="1" applyAlignment="1">
      <alignment vertical="top"/>
    </xf>
    <xf numFmtId="0" fontId="62" fillId="13" borderId="62" xfId="0" applyFont="1" applyFill="1" applyBorder="1" applyAlignment="1">
      <alignment horizontal="center"/>
    </xf>
    <xf numFmtId="0" fontId="62" fillId="13" borderId="61" xfId="0" applyFont="1" applyFill="1" applyBorder="1" applyAlignment="1">
      <alignment horizontal="center"/>
    </xf>
    <xf numFmtId="0" fontId="42" fillId="0" borderId="38" xfId="0" applyFont="1" applyBorder="1" applyAlignment="1">
      <alignment horizontal="left" vertical="center"/>
    </xf>
    <xf numFmtId="0" fontId="42" fillId="0" borderId="39" xfId="0" applyFont="1" applyBorder="1" applyAlignment="1">
      <alignment horizontal="left" vertical="center"/>
    </xf>
    <xf numFmtId="0" fontId="42" fillId="0" borderId="63" xfId="0" applyFont="1" applyBorder="1" applyAlignment="1">
      <alignment horizontal="left" vertical="center"/>
    </xf>
    <xf numFmtId="0" fontId="70" fillId="6" borderId="0" xfId="0" applyFont="1" applyFill="1" applyAlignment="1">
      <alignment horizontal="center" vertical="center"/>
    </xf>
    <xf numFmtId="0" fontId="44" fillId="0" borderId="35" xfId="5" applyFont="1" applyBorder="1" applyAlignment="1">
      <alignment vertical="top"/>
    </xf>
    <xf numFmtId="0" fontId="44" fillId="0" borderId="28" xfId="5" applyFont="1" applyBorder="1" applyAlignment="1">
      <alignment vertical="top"/>
    </xf>
    <xf numFmtId="0" fontId="64" fillId="0" borderId="42" xfId="3" applyFont="1" applyBorder="1" applyAlignment="1">
      <alignment horizontal="center" vertical="center"/>
    </xf>
    <xf numFmtId="0" fontId="64" fillId="0" borderId="43" xfId="3" applyFont="1" applyBorder="1" applyAlignment="1">
      <alignment horizontal="center" vertical="center"/>
    </xf>
    <xf numFmtId="0" fontId="44" fillId="0" borderId="6" xfId="4" applyFont="1" applyBorder="1" applyAlignment="1">
      <alignment horizontal="left" vertical="center"/>
    </xf>
    <xf numFmtId="0" fontId="44" fillId="0" borderId="0" xfId="4" applyFont="1" applyAlignment="1">
      <alignment horizontal="left" vertical="center"/>
    </xf>
    <xf numFmtId="0" fontId="44" fillId="0" borderId="15" xfId="4" applyFont="1" applyBorder="1" applyAlignment="1">
      <alignment horizontal="left" vertical="center"/>
    </xf>
    <xf numFmtId="0" fontId="8" fillId="6" borderId="9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63" fillId="0" borderId="6" xfId="2" applyFont="1" applyFill="1" applyBorder="1" applyAlignment="1">
      <alignment vertical="top"/>
    </xf>
    <xf numFmtId="0" fontId="64" fillId="0" borderId="32" xfId="3" applyFont="1" applyBorder="1" applyAlignment="1">
      <alignment horizontal="left" vertical="center"/>
    </xf>
    <xf numFmtId="0" fontId="64" fillId="0" borderId="33" xfId="3" applyFont="1" applyBorder="1" applyAlignment="1">
      <alignment horizontal="left" vertical="center"/>
    </xf>
    <xf numFmtId="0" fontId="64" fillId="0" borderId="29" xfId="3" applyFont="1" applyBorder="1" applyAlignment="1">
      <alignment horizontal="left" vertical="center"/>
    </xf>
    <xf numFmtId="0" fontId="64" fillId="0" borderId="30" xfId="3" applyFont="1" applyBorder="1" applyAlignment="1">
      <alignment horizontal="left" vertical="center"/>
    </xf>
    <xf numFmtId="0" fontId="44" fillId="0" borderId="32" xfId="5" applyFont="1" applyBorder="1" applyAlignment="1">
      <alignment vertical="top"/>
    </xf>
  </cellXfs>
  <cellStyles count="388">
    <cellStyle name="Explanatory Text" xfId="6" builtinId="53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Heading 1" xfId="2" builtinId="16" customBuiltin="1"/>
    <cellStyle name="Heading 1 2" xfId="100" xr:uid="{00000000-0005-0000-0000-0000BF000000}"/>
    <cellStyle name="Heading 2" xfId="3" builtinId="17" customBuiltin="1"/>
    <cellStyle name="Heading 3" xfId="4" builtinId="18" customBuiltin="1"/>
    <cellStyle name="Heading 4" xfId="5" builtinId="19" customBuiltin="1"/>
    <cellStyle name="Heading 4 2" xfId="101" xr:uid="{00000000-0005-0000-0000-0000C3000000}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Normal" xfId="0" builtinId="0" customBuiltin="1"/>
    <cellStyle name="Normal 2" xfId="99" xr:uid="{00000000-0005-0000-0000-000082010000}"/>
    <cellStyle name="Title" xfId="1" builtinId="15" customBuiltin="1"/>
  </cellStyles>
  <dxfs count="201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200"/>
      <tableStyleElement type="headerRow" dxfId="199"/>
      <tableStyleElement type="totalRow" dxfId="198"/>
      <tableStyleElement type="firstColumn" dxfId="197"/>
      <tableStyleElement type="lastColumn" dxfId="196"/>
      <tableStyleElement type="firstRowStripe" dxfId="195"/>
      <tableStyleElement type="firstColumnStripe" dxfId="194"/>
    </tableStyle>
    <tableStyle name="TableStyleLight9 2" pivot="0" count="4" xr9:uid="{00000000-0011-0000-FFFF-FFFF01000000}">
      <tableStyleElement type="wholeTable" dxfId="193"/>
      <tableStyleElement type="headerRow" dxfId="192"/>
      <tableStyleElement type="totalRow" dxfId="191"/>
      <tableStyleElement type="firstColumn" dxfId="190"/>
    </tableStyle>
  </tableStyles>
  <colors>
    <mruColors>
      <color rgb="FFA26BB1"/>
      <color rgb="FF82C755"/>
      <color rgb="FF34C2CF"/>
      <color rgb="FFF667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09"/>
  <sheetViews>
    <sheetView tabSelected="1" workbookViewId="0">
      <selection activeCell="Q15" sqref="Q15"/>
    </sheetView>
  </sheetViews>
  <sheetFormatPr defaultColWidth="14.42578125" defaultRowHeight="15.75" customHeight="1"/>
  <cols>
    <col min="1" max="1" width="38.140625" style="26" customWidth="1"/>
    <col min="2" max="5" width="7" style="26" customWidth="1"/>
    <col min="6" max="6" width="8.28515625" style="26" customWidth="1"/>
    <col min="7" max="13" width="7" style="26" customWidth="1"/>
    <col min="14" max="14" width="7.28515625" style="26" customWidth="1"/>
    <col min="15" max="17" width="7" style="26" customWidth="1"/>
    <col min="18" max="19" width="8.28515625" style="26" customWidth="1"/>
    <col min="20" max="20" width="8" style="26" customWidth="1"/>
    <col min="21" max="49" width="8.28515625" style="26" customWidth="1"/>
    <col min="50" max="16384" width="14.42578125" style="26"/>
  </cols>
  <sheetData>
    <row r="1" spans="1:49" ht="12.75">
      <c r="A1" s="2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</row>
    <row r="2" spans="1:49" ht="12.75">
      <c r="A2" s="27" t="s">
        <v>31</v>
      </c>
      <c r="B2" s="133" t="s">
        <v>32</v>
      </c>
      <c r="C2" s="134"/>
      <c r="D2" s="134"/>
      <c r="E2" s="134"/>
      <c r="F2" s="139" t="s">
        <v>33</v>
      </c>
      <c r="G2" s="134"/>
      <c r="H2" s="134"/>
      <c r="I2" s="134"/>
      <c r="J2" s="133" t="s">
        <v>34</v>
      </c>
      <c r="K2" s="134"/>
      <c r="L2" s="134"/>
      <c r="M2" s="134"/>
      <c r="N2" s="139" t="s">
        <v>35</v>
      </c>
      <c r="O2" s="134"/>
      <c r="P2" s="134"/>
      <c r="Q2" s="134"/>
      <c r="R2" s="133" t="s">
        <v>36</v>
      </c>
      <c r="S2" s="134"/>
      <c r="T2" s="134"/>
      <c r="U2" s="134"/>
      <c r="V2" s="139" t="s">
        <v>37</v>
      </c>
      <c r="W2" s="134"/>
      <c r="X2" s="134"/>
      <c r="Y2" s="134"/>
      <c r="Z2" s="133" t="s">
        <v>38</v>
      </c>
      <c r="AA2" s="134"/>
      <c r="AB2" s="134"/>
      <c r="AC2" s="134"/>
      <c r="AD2" s="139" t="s">
        <v>39</v>
      </c>
      <c r="AE2" s="134"/>
      <c r="AF2" s="134"/>
      <c r="AG2" s="134"/>
      <c r="AH2" s="133" t="s">
        <v>40</v>
      </c>
      <c r="AI2" s="134"/>
      <c r="AJ2" s="134"/>
      <c r="AK2" s="134"/>
      <c r="AL2" s="133" t="s">
        <v>41</v>
      </c>
      <c r="AM2" s="134"/>
      <c r="AN2" s="134"/>
      <c r="AO2" s="134"/>
      <c r="AP2" s="133" t="s">
        <v>42</v>
      </c>
      <c r="AQ2" s="134"/>
      <c r="AR2" s="134"/>
      <c r="AS2" s="134"/>
      <c r="AT2" s="133" t="s">
        <v>43</v>
      </c>
      <c r="AU2" s="134"/>
      <c r="AV2" s="134"/>
      <c r="AW2" s="134"/>
    </row>
    <row r="3" spans="1:49" ht="12.75">
      <c r="A3" s="28"/>
      <c r="B3" s="29" t="s">
        <v>44</v>
      </c>
      <c r="C3" s="29" t="s">
        <v>45</v>
      </c>
      <c r="D3" s="29" t="s">
        <v>46</v>
      </c>
      <c r="E3" s="29" t="s">
        <v>47</v>
      </c>
      <c r="F3" s="29" t="s">
        <v>44</v>
      </c>
      <c r="G3" s="29" t="s">
        <v>45</v>
      </c>
      <c r="H3" s="29" t="s">
        <v>46</v>
      </c>
      <c r="I3" s="29" t="s">
        <v>47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44</v>
      </c>
      <c r="O3" s="29" t="s">
        <v>45</v>
      </c>
      <c r="P3" s="29" t="s">
        <v>46</v>
      </c>
      <c r="Q3" s="29" t="s">
        <v>47</v>
      </c>
      <c r="R3" s="29" t="s">
        <v>44</v>
      </c>
      <c r="S3" s="29" t="s">
        <v>45</v>
      </c>
      <c r="T3" s="29" t="s">
        <v>46</v>
      </c>
      <c r="U3" s="29" t="s">
        <v>47</v>
      </c>
      <c r="V3" s="29" t="s">
        <v>44</v>
      </c>
      <c r="W3" s="29" t="s">
        <v>45</v>
      </c>
      <c r="X3" s="29" t="s">
        <v>46</v>
      </c>
      <c r="Y3" s="29" t="s">
        <v>47</v>
      </c>
      <c r="Z3" s="29" t="s">
        <v>44</v>
      </c>
      <c r="AA3" s="29" t="s">
        <v>45</v>
      </c>
      <c r="AB3" s="29" t="s">
        <v>46</v>
      </c>
      <c r="AC3" s="29" t="s">
        <v>47</v>
      </c>
      <c r="AD3" s="29" t="s">
        <v>44</v>
      </c>
      <c r="AE3" s="29" t="s">
        <v>45</v>
      </c>
      <c r="AF3" s="29" t="s">
        <v>46</v>
      </c>
      <c r="AG3" s="29" t="s">
        <v>47</v>
      </c>
      <c r="AH3" s="29" t="s">
        <v>44</v>
      </c>
      <c r="AI3" s="29" t="s">
        <v>45</v>
      </c>
      <c r="AJ3" s="29" t="s">
        <v>46</v>
      </c>
      <c r="AK3" s="29" t="s">
        <v>47</v>
      </c>
      <c r="AL3" s="29" t="s">
        <v>44</v>
      </c>
      <c r="AM3" s="29" t="s">
        <v>45</v>
      </c>
      <c r="AN3" s="29" t="s">
        <v>46</v>
      </c>
      <c r="AO3" s="29" t="s">
        <v>47</v>
      </c>
      <c r="AP3" s="29" t="s">
        <v>44</v>
      </c>
      <c r="AQ3" s="29" t="s">
        <v>45</v>
      </c>
      <c r="AR3" s="29" t="s">
        <v>46</v>
      </c>
      <c r="AS3" s="29" t="s">
        <v>47</v>
      </c>
      <c r="AT3" s="29" t="s">
        <v>44</v>
      </c>
      <c r="AU3" s="29" t="s">
        <v>45</v>
      </c>
      <c r="AV3" s="29" t="s">
        <v>46</v>
      </c>
      <c r="AW3" s="29" t="s">
        <v>47</v>
      </c>
    </row>
    <row r="4" spans="1:49" ht="12.7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49">
      <c r="A5" s="32" t="s">
        <v>48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</row>
    <row r="6" spans="1:49">
      <c r="A6" s="28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25"/>
      <c r="B7" s="33"/>
      <c r="C7" s="33"/>
      <c r="D7" s="33"/>
      <c r="E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25"/>
      <c r="B8" s="33"/>
      <c r="C8" s="33"/>
      <c r="D8" s="33"/>
      <c r="E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25"/>
      <c r="B9" s="33"/>
      <c r="C9" s="33"/>
      <c r="D9" s="33"/>
      <c r="E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25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25"/>
      <c r="B11" s="33"/>
      <c r="C11" s="33"/>
      <c r="D11" s="33"/>
      <c r="E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28" t="s">
        <v>50</v>
      </c>
      <c r="B12" s="33"/>
      <c r="C12" s="33"/>
      <c r="D12" s="33"/>
      <c r="E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25"/>
      <c r="B13" s="33"/>
      <c r="C13" s="33"/>
      <c r="D13" s="33"/>
      <c r="E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A14" s="25"/>
      <c r="B14" s="33"/>
      <c r="C14" s="33"/>
      <c r="D14" s="33"/>
      <c r="E14" s="33"/>
      <c r="I14" s="33"/>
      <c r="J14" s="33"/>
      <c r="K14" s="33"/>
      <c r="L14" s="33"/>
      <c r="M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A15" s="25"/>
      <c r="B15" s="33"/>
      <c r="C15" s="33"/>
      <c r="D15" s="33"/>
      <c r="E15" s="33"/>
      <c r="I15" s="33"/>
      <c r="J15" s="33"/>
      <c r="K15" s="33"/>
      <c r="L15" s="33"/>
      <c r="M15" s="33"/>
      <c r="N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25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25"/>
      <c r="B17" s="33"/>
      <c r="C17" s="33"/>
      <c r="D17" s="33"/>
      <c r="E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>
      <c r="A18" s="25"/>
      <c r="B18" s="33"/>
      <c r="C18" s="33"/>
      <c r="D18" s="33"/>
      <c r="E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>
      <c r="A19" s="25"/>
      <c r="B19" s="33"/>
      <c r="C19" s="33"/>
      <c r="D19" s="33"/>
      <c r="E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25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30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49">
      <c r="A22" s="32" t="s">
        <v>51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25"/>
      <c r="B23" s="33"/>
      <c r="C23" s="33"/>
      <c r="D23" s="33"/>
      <c r="E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25"/>
      <c r="B24" s="33"/>
      <c r="C24" s="33"/>
      <c r="D24" s="33"/>
      <c r="E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25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 ht="15.75" customHeight="1">
      <c r="A26" s="3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</row>
    <row r="27" spans="1:49">
      <c r="A27" s="32" t="s">
        <v>53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25"/>
      <c r="B28" s="33"/>
      <c r="C28" s="33"/>
      <c r="D28" s="33"/>
      <c r="E28" s="33"/>
      <c r="F28" s="33"/>
      <c r="G28" s="33"/>
      <c r="H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2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82"/>
      <c r="AN29" s="82"/>
      <c r="AO29" s="82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30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</row>
    <row r="31" spans="1:49">
      <c r="A31" s="32" t="s">
        <v>52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25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2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>
      <c r="A34" s="30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</row>
    <row r="35" spans="1:49">
      <c r="A35" s="32" t="s">
        <v>54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2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2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30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</row>
    <row r="39" spans="1:49">
      <c r="A39" s="32" t="s">
        <v>55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2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2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30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</row>
    <row r="43" spans="1:49">
      <c r="A43" s="3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>
      <c r="A44" s="2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 s="38" customFormat="1" ht="15.75" customHeight="1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</row>
    <row r="46" spans="1:49" s="38" customForma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</row>
    <row r="47" spans="1:49" s="38" customForma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</row>
    <row r="48" spans="1:49" s="38" customForma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</row>
    <row r="49" spans="1:49" s="38" customFormat="1">
      <c r="A49" s="35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</row>
    <row r="50" spans="1:49">
      <c r="A50" s="2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25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3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</row>
    <row r="52" spans="1:49" ht="12.75">
      <c r="A52" s="25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</row>
    <row r="53" spans="1:49" ht="12.75">
      <c r="A53" s="25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</row>
    <row r="60" spans="1:49" ht="12.75">
      <c r="A60" s="25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</row>
    <row r="61" spans="1:49" ht="12.75">
      <c r="A61" s="25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</row>
    <row r="62" spans="1:49" ht="12.75">
      <c r="A62" s="25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ht="12.75">
      <c r="A63" s="25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</row>
    <row r="64" spans="1:49" ht="12.75">
      <c r="A64" s="25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</row>
    <row r="65" spans="1:49" ht="12.75">
      <c r="A65" s="25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</row>
    <row r="66" spans="1:49" ht="12.75">
      <c r="A66" s="25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</row>
    <row r="67" spans="1:49" ht="12.75">
      <c r="A67" s="25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</row>
    <row r="68" spans="1:49" ht="12.75">
      <c r="A68" s="25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</row>
    <row r="69" spans="1:49" ht="12.75">
      <c r="A69" s="25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</row>
    <row r="70" spans="1:49" ht="12.75">
      <c r="A70" s="25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</row>
    <row r="71" spans="1:49" ht="12.75">
      <c r="A71" s="25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</row>
    <row r="72" spans="1:49" ht="12.75">
      <c r="A72" s="25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</row>
    <row r="73" spans="1:49" ht="12.75">
      <c r="A73" s="25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</row>
    <row r="74" spans="1:49" ht="12.75">
      <c r="A74" s="25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</row>
    <row r="75" spans="1:49" ht="12.75">
      <c r="A75" s="25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</row>
    <row r="76" spans="1:49" ht="12.75">
      <c r="A76" s="25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</row>
    <row r="77" spans="1:49" ht="12.75">
      <c r="A77" s="25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</row>
    <row r="78" spans="1:49" ht="12.75">
      <c r="A78" s="25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</row>
    <row r="79" spans="1:49" ht="12.75">
      <c r="A79" s="25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</row>
    <row r="80" spans="1:49" ht="12.75">
      <c r="A80" s="25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</row>
    <row r="81" spans="1:49" ht="12.75">
      <c r="A81" s="25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</row>
    <row r="82" spans="1:49" ht="12.75">
      <c r="A82" s="25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</row>
    <row r="83" spans="1:49" ht="12.75">
      <c r="A83" s="25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</row>
    <row r="84" spans="1:49" ht="12.75">
      <c r="A84" s="25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</row>
    <row r="85" spans="1:49" ht="12.75">
      <c r="A85" s="25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</row>
    <row r="86" spans="1:49" ht="12.75">
      <c r="A86" s="25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</row>
    <row r="87" spans="1:49" ht="12.75">
      <c r="A87" s="25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</row>
    <row r="88" spans="1:49" ht="12.75">
      <c r="A88" s="25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</row>
    <row r="89" spans="1:49" ht="12.75">
      <c r="A89" s="25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</row>
    <row r="90" spans="1:49" ht="12.75">
      <c r="A90" s="25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</row>
    <row r="91" spans="1:49" ht="12.75">
      <c r="A91" s="25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</row>
    <row r="92" spans="1:49" ht="12.75">
      <c r="A92" s="25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</row>
    <row r="93" spans="1:49" ht="12.75">
      <c r="A93" s="25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</row>
    <row r="94" spans="1:49" ht="12.75">
      <c r="A94" s="25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</row>
    <row r="95" spans="1:49" ht="12.75">
      <c r="A95" s="25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</row>
    <row r="96" spans="1:49" ht="12.75">
      <c r="A96" s="25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</row>
    <row r="97" spans="1:49" ht="12.75">
      <c r="A97" s="25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</row>
    <row r="98" spans="1:49" ht="12.75">
      <c r="A98" s="25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</row>
    <row r="99" spans="1:49" ht="12.75">
      <c r="A99" s="25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</row>
    <row r="100" spans="1:49" ht="12.75">
      <c r="A100" s="25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</row>
    <row r="101" spans="1:49" ht="12.75">
      <c r="A101" s="25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</row>
    <row r="102" spans="1:49" ht="12.75">
      <c r="A102" s="25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</row>
    <row r="103" spans="1:49" ht="12.75">
      <c r="A103" s="25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</row>
    <row r="104" spans="1:49" ht="12.75">
      <c r="A104" s="25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</row>
    <row r="105" spans="1:49" ht="12.75">
      <c r="A105" s="25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</row>
    <row r="106" spans="1:49" ht="12.75">
      <c r="A106" s="25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</row>
    <row r="107" spans="1:49" ht="12.75">
      <c r="A107" s="25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</row>
    <row r="108" spans="1:49" ht="12.75">
      <c r="A108" s="25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</row>
    <row r="109" spans="1:49" ht="12.75">
      <c r="A109" s="25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</row>
    <row r="110" spans="1:49" ht="12.75">
      <c r="A110" s="25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</row>
    <row r="111" spans="1:49" ht="12.75">
      <c r="A111" s="25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</row>
    <row r="112" spans="1:49" ht="12.75">
      <c r="A112" s="25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</row>
    <row r="113" spans="1:49" ht="12.75">
      <c r="A113" s="25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</row>
    <row r="114" spans="1:49" ht="12.75">
      <c r="A114" s="25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</row>
    <row r="115" spans="1:49" ht="12.75">
      <c r="A115" s="25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</row>
    <row r="116" spans="1:49" ht="12.75">
      <c r="A116" s="25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</row>
    <row r="117" spans="1:49" ht="12.75">
      <c r="A117" s="25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</row>
    <row r="118" spans="1:49" ht="12.75">
      <c r="A118" s="25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</row>
    <row r="119" spans="1:49" ht="12.75">
      <c r="A119" s="25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</row>
    <row r="120" spans="1:49" ht="12.75">
      <c r="A120" s="25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</row>
    <row r="121" spans="1:49" ht="12.75">
      <c r="A121" s="25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</row>
    <row r="122" spans="1:49" ht="12.75">
      <c r="A122" s="25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</row>
    <row r="123" spans="1:49" ht="12.75">
      <c r="A123" s="25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</row>
    <row r="124" spans="1:49" ht="12.75">
      <c r="A124" s="25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</row>
    <row r="125" spans="1:49" ht="12.75">
      <c r="A125" s="25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</row>
    <row r="126" spans="1:49" ht="12.75">
      <c r="A126" s="25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</row>
    <row r="127" spans="1:49" ht="12.75">
      <c r="A127" s="25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</row>
    <row r="128" spans="1:49" ht="12.75">
      <c r="A128" s="25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</row>
    <row r="129" spans="1:49" ht="12.75">
      <c r="A129" s="25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</row>
    <row r="130" spans="1:49" ht="12.75">
      <c r="A130" s="25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</row>
    <row r="131" spans="1:49" ht="12.75">
      <c r="A131" s="25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</row>
    <row r="132" spans="1:49" ht="12.75">
      <c r="A132" s="25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</row>
    <row r="133" spans="1:49" ht="12.75">
      <c r="A133" s="25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</row>
    <row r="134" spans="1:49" ht="12.75">
      <c r="A134" s="25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</row>
    <row r="135" spans="1:49" ht="12.75">
      <c r="A135" s="25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</row>
    <row r="136" spans="1:49" ht="12.75">
      <c r="A136" s="25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</row>
    <row r="137" spans="1:49" ht="12.75">
      <c r="A137" s="25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</row>
    <row r="138" spans="1:49" ht="12.75">
      <c r="A138" s="25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</row>
    <row r="139" spans="1:49" ht="12.75">
      <c r="A139" s="25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</row>
    <row r="140" spans="1:49" ht="12.75">
      <c r="A140" s="25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</row>
    <row r="141" spans="1:49" ht="12.75">
      <c r="A141" s="25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</row>
    <row r="142" spans="1:49" ht="12.75">
      <c r="A142" s="25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</row>
    <row r="143" spans="1:49" ht="12.75">
      <c r="A143" s="25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</row>
    <row r="144" spans="1:49" ht="12.75">
      <c r="A144" s="25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</row>
    <row r="145" spans="1:49" ht="12.75">
      <c r="A145" s="25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</row>
    <row r="146" spans="1:49" ht="12.75">
      <c r="A146" s="25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</row>
    <row r="147" spans="1:49" ht="12.75">
      <c r="A147" s="25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</row>
    <row r="148" spans="1:49" ht="12.75">
      <c r="A148" s="25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</row>
    <row r="149" spans="1:49" ht="12.75">
      <c r="A149" s="25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</row>
    <row r="150" spans="1:49" ht="12.75">
      <c r="A150" s="25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</row>
    <row r="151" spans="1:49" ht="12.75">
      <c r="A151" s="25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</row>
    <row r="152" spans="1:49" ht="12.75">
      <c r="A152" s="25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</row>
    <row r="153" spans="1:49" ht="12.75">
      <c r="A153" s="25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</row>
    <row r="154" spans="1:49" ht="12.75">
      <c r="A154" s="25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</row>
    <row r="155" spans="1:49" ht="12.75">
      <c r="A155" s="25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</row>
    <row r="156" spans="1:49" ht="12.75">
      <c r="A156" s="25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</row>
    <row r="157" spans="1:49" ht="12.75">
      <c r="A157" s="25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</row>
    <row r="158" spans="1:49" ht="12.75">
      <c r="A158" s="25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</row>
    <row r="159" spans="1:49" ht="12.75">
      <c r="A159" s="25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</row>
    <row r="160" spans="1:49" ht="12.75">
      <c r="A160" s="25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</row>
    <row r="161" spans="1:49" ht="12.75">
      <c r="A161" s="25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</row>
    <row r="162" spans="1:49" ht="12.75">
      <c r="A162" s="25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</row>
    <row r="163" spans="1:49" ht="12.75">
      <c r="A163" s="25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</row>
    <row r="164" spans="1:49" ht="12.75">
      <c r="A164" s="25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</row>
    <row r="165" spans="1:49" ht="12.75">
      <c r="A165" s="25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</row>
    <row r="166" spans="1:49" ht="12.75">
      <c r="A166" s="25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</row>
    <row r="167" spans="1:49" ht="12.75">
      <c r="A167" s="25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</row>
    <row r="168" spans="1:49" ht="12.75">
      <c r="A168" s="25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</row>
    <row r="169" spans="1:49" ht="12.75">
      <c r="A169" s="25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</row>
    <row r="170" spans="1:49" ht="12.75">
      <c r="A170" s="25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</row>
    <row r="171" spans="1:49" ht="12.75">
      <c r="A171" s="25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</row>
    <row r="172" spans="1:49" ht="12.75">
      <c r="A172" s="25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</row>
    <row r="173" spans="1:49" ht="12.75">
      <c r="A173" s="25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</row>
    <row r="174" spans="1:49" ht="12.75">
      <c r="A174" s="25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</row>
    <row r="175" spans="1:49" ht="12.75">
      <c r="A175" s="25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</row>
    <row r="176" spans="1:49" ht="12.75">
      <c r="A176" s="25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</row>
    <row r="177" spans="1:49" ht="12.75">
      <c r="A177" s="25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</row>
    <row r="178" spans="1:49" ht="12.75">
      <c r="A178" s="25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</row>
    <row r="179" spans="1:49" ht="12.75">
      <c r="A179" s="25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</row>
    <row r="180" spans="1:49" ht="12.75">
      <c r="A180" s="25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</row>
    <row r="181" spans="1:49" ht="12.75">
      <c r="A181" s="25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</row>
    <row r="182" spans="1:49" ht="12.75">
      <c r="A182" s="25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</row>
    <row r="183" spans="1:49" ht="12.75">
      <c r="A183" s="25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</row>
    <row r="184" spans="1:49" ht="12.75">
      <c r="A184" s="25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</row>
    <row r="185" spans="1:49" ht="12.75">
      <c r="A185" s="25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</row>
    <row r="186" spans="1:49" ht="12.75">
      <c r="A186" s="25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</row>
    <row r="187" spans="1:49" ht="12.75">
      <c r="A187" s="25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</row>
    <row r="188" spans="1:49" ht="12.75">
      <c r="A188" s="25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</row>
    <row r="189" spans="1:49" ht="12.75">
      <c r="A189" s="25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</row>
    <row r="190" spans="1:49" ht="12.75">
      <c r="A190" s="25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</row>
    <row r="191" spans="1:49" ht="12.75">
      <c r="A191" s="25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</row>
    <row r="192" spans="1:49" ht="12.75">
      <c r="A192" s="25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</row>
    <row r="193" spans="1:49" ht="12.75">
      <c r="A193" s="25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</row>
    <row r="194" spans="1:49" ht="12.75">
      <c r="A194" s="25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</row>
    <row r="195" spans="1:49" ht="12.75">
      <c r="A195" s="25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</row>
    <row r="196" spans="1:49" ht="12.75">
      <c r="A196" s="25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</row>
    <row r="197" spans="1:49" ht="12.75">
      <c r="A197" s="25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</row>
    <row r="198" spans="1:49" ht="12.75">
      <c r="A198" s="25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</row>
    <row r="199" spans="1:49" ht="12.75">
      <c r="A199" s="25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</row>
    <row r="200" spans="1:49" ht="12.75">
      <c r="A200" s="25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</row>
    <row r="201" spans="1:49" ht="12.75">
      <c r="A201" s="25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</row>
    <row r="202" spans="1:49" ht="12.75">
      <c r="A202" s="25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</row>
    <row r="203" spans="1:49" ht="12.75">
      <c r="A203" s="25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</row>
    <row r="204" spans="1:49" ht="12.75">
      <c r="A204" s="25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</row>
    <row r="205" spans="1:49" ht="12.75">
      <c r="A205" s="25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</row>
    <row r="206" spans="1:49" ht="12.75">
      <c r="A206" s="25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</row>
    <row r="207" spans="1:49" ht="12.75">
      <c r="A207" s="25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</row>
    <row r="208" spans="1:49" ht="12.75">
      <c r="A208" s="25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</row>
    <row r="209" spans="1:49" ht="12.75">
      <c r="A209" s="25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</row>
    <row r="210" spans="1:49" ht="12.75">
      <c r="A210" s="25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</row>
    <row r="211" spans="1:49" ht="12.75">
      <c r="A211" s="25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</row>
    <row r="212" spans="1:49" ht="12.75">
      <c r="A212" s="25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</row>
    <row r="213" spans="1:49" ht="12.75">
      <c r="A213" s="25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</row>
    <row r="214" spans="1:49" ht="12.75">
      <c r="A214" s="25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</row>
    <row r="215" spans="1:49" ht="12.75">
      <c r="A215" s="25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</row>
    <row r="216" spans="1:49" ht="12.75">
      <c r="A216" s="25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</row>
    <row r="217" spans="1:49" ht="12.75">
      <c r="A217" s="25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</row>
    <row r="218" spans="1:49" ht="12.75">
      <c r="A218" s="25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</row>
    <row r="219" spans="1:49" ht="12.75">
      <c r="A219" s="25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</row>
    <row r="220" spans="1:49" ht="12.75">
      <c r="A220" s="25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</row>
    <row r="221" spans="1:49" ht="12.75">
      <c r="A221" s="25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</row>
    <row r="222" spans="1:49" ht="12.75">
      <c r="A222" s="25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</row>
    <row r="223" spans="1:49" ht="12.75">
      <c r="A223" s="25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</row>
    <row r="224" spans="1:49" ht="12.75">
      <c r="A224" s="25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</row>
    <row r="225" spans="1:49" ht="12.75">
      <c r="A225" s="25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</row>
    <row r="226" spans="1:49" ht="12.75">
      <c r="A226" s="25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</row>
    <row r="227" spans="1:49" ht="12.75">
      <c r="A227" s="25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</row>
    <row r="228" spans="1:49" ht="12.75">
      <c r="A228" s="25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</row>
    <row r="229" spans="1:49" ht="12.75">
      <c r="A229" s="25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</row>
    <row r="230" spans="1:49" ht="12.75">
      <c r="A230" s="25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</row>
    <row r="231" spans="1:49" ht="12.75">
      <c r="A231" s="25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</row>
    <row r="232" spans="1:49" ht="12.75">
      <c r="A232" s="25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</row>
    <row r="233" spans="1:49" ht="12.75">
      <c r="A233" s="25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</row>
    <row r="234" spans="1:49" ht="12.75">
      <c r="A234" s="25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</row>
    <row r="235" spans="1:49" ht="12.75">
      <c r="A235" s="25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</row>
    <row r="236" spans="1:49" ht="12.75">
      <c r="A236" s="25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</row>
    <row r="237" spans="1:49" ht="12.75">
      <c r="A237" s="25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</row>
    <row r="238" spans="1:49" ht="12.75">
      <c r="A238" s="25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</row>
    <row r="239" spans="1:49" ht="12.75">
      <c r="A239" s="25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</row>
    <row r="240" spans="1:49" ht="12.75">
      <c r="A240" s="25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</row>
    <row r="241" spans="1:49" ht="12.75">
      <c r="A241" s="25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</row>
    <row r="242" spans="1:49" ht="12.75">
      <c r="A242" s="25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</row>
    <row r="243" spans="1:49" ht="12.75">
      <c r="A243" s="25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</row>
    <row r="244" spans="1:49" ht="12.75">
      <c r="A244" s="25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</row>
    <row r="245" spans="1:49" ht="12.75">
      <c r="A245" s="25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</row>
    <row r="246" spans="1:49" ht="12.75">
      <c r="A246" s="25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</row>
    <row r="247" spans="1:49" ht="12.75">
      <c r="A247" s="25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</row>
    <row r="248" spans="1:49" ht="12.75">
      <c r="A248" s="25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</row>
    <row r="249" spans="1:49" ht="12.75">
      <c r="A249" s="25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</row>
    <row r="250" spans="1:49" ht="12.75">
      <c r="A250" s="25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</row>
    <row r="251" spans="1:49" ht="12.75">
      <c r="A251" s="25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</row>
    <row r="252" spans="1:49" ht="12.75">
      <c r="A252" s="25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</row>
    <row r="253" spans="1:49" ht="12.75">
      <c r="A253" s="25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</row>
    <row r="254" spans="1:49" ht="12.75">
      <c r="A254" s="25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</row>
    <row r="255" spans="1:49" ht="12.75">
      <c r="A255" s="25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</row>
    <row r="256" spans="1:49" ht="12.75">
      <c r="A256" s="25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</row>
    <row r="257" spans="1:49" ht="12.75">
      <c r="A257" s="25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</row>
    <row r="258" spans="1:49" ht="12.75">
      <c r="A258" s="25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</row>
    <row r="259" spans="1:49" ht="12.75">
      <c r="A259" s="25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</row>
    <row r="260" spans="1:49" ht="12.75">
      <c r="A260" s="25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</row>
    <row r="261" spans="1:49" ht="12.75">
      <c r="A261" s="25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</row>
    <row r="262" spans="1:49" ht="12.75">
      <c r="A262" s="25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</row>
    <row r="263" spans="1:49" ht="12.75">
      <c r="A263" s="25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</row>
    <row r="264" spans="1:49" ht="12.75">
      <c r="A264" s="25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</row>
    <row r="265" spans="1:49" ht="12.75">
      <c r="A265" s="25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</row>
    <row r="266" spans="1:49" ht="12.75">
      <c r="A266" s="25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</row>
    <row r="267" spans="1:49" ht="12.75">
      <c r="A267" s="25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</row>
    <row r="268" spans="1:49" ht="12.75">
      <c r="A268" s="25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</row>
    <row r="269" spans="1:49" ht="12.75">
      <c r="A269" s="25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</row>
    <row r="270" spans="1:49" ht="12.75">
      <c r="A270" s="25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</row>
    <row r="271" spans="1:49" ht="12.75">
      <c r="A271" s="25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</row>
    <row r="272" spans="1:49" ht="12.75">
      <c r="A272" s="25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</row>
    <row r="273" spans="1:49" ht="12.75">
      <c r="A273" s="25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</row>
    <row r="274" spans="1:49" ht="12.75">
      <c r="A274" s="25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</row>
    <row r="275" spans="1:49" ht="12.75">
      <c r="A275" s="25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</row>
    <row r="276" spans="1:49" ht="12.75">
      <c r="A276" s="25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</row>
    <row r="277" spans="1:49" ht="12.75">
      <c r="A277" s="25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</row>
    <row r="278" spans="1:49" ht="12.75">
      <c r="A278" s="25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</row>
    <row r="279" spans="1:49" ht="12.75">
      <c r="A279" s="25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</row>
    <row r="280" spans="1:49" ht="12.75">
      <c r="A280" s="25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</row>
    <row r="281" spans="1:49" ht="12.75">
      <c r="A281" s="25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</row>
    <row r="282" spans="1:49" ht="12.75">
      <c r="A282" s="25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</row>
    <row r="283" spans="1:49" ht="12.75">
      <c r="A283" s="25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</row>
    <row r="284" spans="1:49" ht="12.75">
      <c r="A284" s="25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</row>
    <row r="285" spans="1:49" ht="12.75">
      <c r="A285" s="25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</row>
    <row r="286" spans="1:49" ht="12.75">
      <c r="A286" s="25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</row>
    <row r="287" spans="1:49" ht="12.75">
      <c r="A287" s="25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</row>
    <row r="288" spans="1:49" ht="12.75">
      <c r="A288" s="25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</row>
    <row r="289" spans="1:49" ht="12.75">
      <c r="A289" s="25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</row>
    <row r="290" spans="1:49" ht="12.75">
      <c r="A290" s="25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</row>
    <row r="291" spans="1:49" ht="12.75">
      <c r="A291" s="25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</row>
    <row r="292" spans="1:49" ht="12.75">
      <c r="A292" s="25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</row>
    <row r="293" spans="1:49" ht="12.75">
      <c r="A293" s="25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</row>
    <row r="294" spans="1:49" ht="12.75">
      <c r="A294" s="25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</row>
    <row r="295" spans="1:49" ht="12.75">
      <c r="A295" s="25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</row>
    <row r="296" spans="1:49" ht="12.75">
      <c r="A296" s="25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</row>
    <row r="297" spans="1:49" ht="12.75">
      <c r="A297" s="25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</row>
    <row r="298" spans="1:49" ht="12.75">
      <c r="A298" s="25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</row>
    <row r="299" spans="1:49" ht="12.75">
      <c r="A299" s="25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</row>
    <row r="300" spans="1:49" ht="12.75">
      <c r="A300" s="25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</row>
    <row r="301" spans="1:49" ht="12.75">
      <c r="A301" s="25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</row>
    <row r="302" spans="1:49" ht="12.75">
      <c r="A302" s="25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</row>
    <row r="303" spans="1:49" ht="12.75">
      <c r="A303" s="25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</row>
    <row r="304" spans="1:49" ht="12.75">
      <c r="A304" s="25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</row>
    <row r="305" spans="1:49" ht="12.75">
      <c r="A305" s="25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</row>
    <row r="306" spans="1:49" ht="12.75">
      <c r="A306" s="25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</row>
    <row r="307" spans="1:49" ht="12.75">
      <c r="A307" s="25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</row>
    <row r="308" spans="1:49" ht="12.75">
      <c r="A308" s="25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</row>
    <row r="309" spans="1:49" ht="12.75">
      <c r="A309" s="25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</row>
    <row r="310" spans="1:49" ht="12.75">
      <c r="A310" s="25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</row>
    <row r="311" spans="1:49" ht="12.75">
      <c r="A311" s="25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</row>
    <row r="312" spans="1:49" ht="12.75">
      <c r="A312" s="25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</row>
    <row r="313" spans="1:49" ht="12.75">
      <c r="A313" s="25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</row>
    <row r="314" spans="1:49" ht="12.75">
      <c r="A314" s="25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</row>
    <row r="315" spans="1:49" ht="12.75">
      <c r="A315" s="25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</row>
    <row r="316" spans="1:49" ht="12.75">
      <c r="A316" s="25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</row>
    <row r="317" spans="1:49" ht="12.75">
      <c r="A317" s="25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</row>
    <row r="318" spans="1:49" ht="12.75">
      <c r="A318" s="25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</row>
    <row r="319" spans="1:49" ht="12.75">
      <c r="A319" s="25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</row>
    <row r="320" spans="1:49" ht="12.75">
      <c r="A320" s="25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</row>
    <row r="321" spans="1:49" ht="12.75">
      <c r="A321" s="25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</row>
    <row r="322" spans="1:49" ht="12.75">
      <c r="A322" s="25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</row>
    <row r="323" spans="1:49" ht="12.75">
      <c r="A323" s="25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</row>
    <row r="324" spans="1:49" ht="12.75">
      <c r="A324" s="25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</row>
    <row r="325" spans="1:49" ht="12.75">
      <c r="A325" s="25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</row>
    <row r="326" spans="1:49" ht="12.75">
      <c r="A326" s="25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</row>
    <row r="327" spans="1:49" ht="12.75">
      <c r="A327" s="25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</row>
    <row r="328" spans="1:49" ht="12.75">
      <c r="A328" s="25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</row>
    <row r="329" spans="1:49" ht="12.75">
      <c r="A329" s="25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</row>
    <row r="330" spans="1:49" ht="12.75">
      <c r="A330" s="25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</row>
    <row r="331" spans="1:49" ht="12.75">
      <c r="A331" s="25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</row>
    <row r="332" spans="1:49" ht="12.75">
      <c r="A332" s="25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</row>
    <row r="333" spans="1:49" ht="12.75">
      <c r="A333" s="25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</row>
    <row r="334" spans="1:49" ht="12.75">
      <c r="A334" s="25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</row>
    <row r="335" spans="1:49" ht="12.75">
      <c r="A335" s="25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</row>
    <row r="336" spans="1:49" ht="12.75">
      <c r="A336" s="25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</row>
    <row r="337" spans="1:49" ht="12.75">
      <c r="A337" s="25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</row>
    <row r="338" spans="1:49" ht="12.75">
      <c r="A338" s="25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</row>
    <row r="339" spans="1:49" ht="12.75">
      <c r="A339" s="25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</row>
    <row r="340" spans="1:49" ht="12.75">
      <c r="A340" s="25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</row>
    <row r="341" spans="1:49" ht="12.75">
      <c r="A341" s="25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</row>
    <row r="342" spans="1:49" ht="12.75">
      <c r="A342" s="25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</row>
    <row r="343" spans="1:49" ht="12.75">
      <c r="A343" s="25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</row>
    <row r="344" spans="1:49" ht="12.75">
      <c r="A344" s="25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</row>
    <row r="345" spans="1:49" ht="12.75">
      <c r="A345" s="25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</row>
    <row r="346" spans="1:49" ht="12.75">
      <c r="A346" s="25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</row>
    <row r="347" spans="1:49" ht="12.75">
      <c r="A347" s="25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</row>
    <row r="348" spans="1:49" ht="12.75">
      <c r="A348" s="25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</row>
    <row r="349" spans="1:49" ht="12.75">
      <c r="A349" s="25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</row>
    <row r="350" spans="1:49" ht="12.75">
      <c r="A350" s="25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</row>
    <row r="351" spans="1:49" ht="12.75">
      <c r="A351" s="25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</row>
    <row r="352" spans="1:49" ht="12.75">
      <c r="A352" s="25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</row>
    <row r="353" spans="1:49" ht="12.75">
      <c r="A353" s="25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</row>
    <row r="354" spans="1:49" ht="12.75">
      <c r="A354" s="25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</row>
    <row r="355" spans="1:49" ht="12.75">
      <c r="A355" s="25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</row>
    <row r="356" spans="1:49" ht="12.75">
      <c r="A356" s="25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</row>
    <row r="357" spans="1:49" ht="12.75">
      <c r="A357" s="25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</row>
    <row r="358" spans="1:49" ht="12.75">
      <c r="A358" s="25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</row>
    <row r="359" spans="1:49" ht="12.75">
      <c r="A359" s="25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</row>
    <row r="360" spans="1:49" ht="12.75">
      <c r="A360" s="25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</row>
    <row r="361" spans="1:49" ht="12.75">
      <c r="A361" s="25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</row>
    <row r="362" spans="1:49" ht="12.75">
      <c r="A362" s="25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</row>
    <row r="363" spans="1:49" ht="12.75">
      <c r="A363" s="25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</row>
    <row r="364" spans="1:49" ht="12.75">
      <c r="A364" s="25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</row>
    <row r="365" spans="1:49" ht="12.75">
      <c r="A365" s="25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</row>
    <row r="366" spans="1:49" ht="12.75">
      <c r="A366" s="25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</row>
    <row r="367" spans="1:49" ht="12.75">
      <c r="A367" s="25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</row>
    <row r="368" spans="1:49" ht="12.75">
      <c r="A368" s="25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</row>
    <row r="369" spans="1:49" ht="12.75">
      <c r="A369" s="25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</row>
    <row r="370" spans="1:49" ht="12.75">
      <c r="A370" s="25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</row>
    <row r="371" spans="1:49" ht="12.75">
      <c r="A371" s="25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</row>
    <row r="372" spans="1:49" ht="12.75">
      <c r="A372" s="25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</row>
    <row r="373" spans="1:49" ht="12.75">
      <c r="A373" s="25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</row>
    <row r="374" spans="1:49" ht="12.75">
      <c r="A374" s="25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</row>
    <row r="375" spans="1:49" ht="12.75">
      <c r="A375" s="25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</row>
    <row r="376" spans="1:49" ht="12.75">
      <c r="A376" s="25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</row>
    <row r="377" spans="1:49" ht="12.75">
      <c r="A377" s="25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</row>
    <row r="378" spans="1:49" ht="12.75">
      <c r="A378" s="25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</row>
    <row r="379" spans="1:49" ht="12.75">
      <c r="A379" s="25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</row>
    <row r="380" spans="1:49" ht="12.75">
      <c r="A380" s="25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</row>
    <row r="381" spans="1:49" ht="12.75">
      <c r="A381" s="25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</row>
    <row r="382" spans="1:49" ht="12.75">
      <c r="A382" s="25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</row>
    <row r="383" spans="1:49" ht="12.75">
      <c r="A383" s="25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</row>
    <row r="384" spans="1:49" ht="12.75">
      <c r="A384" s="25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</row>
    <row r="385" spans="1:49" ht="12.75">
      <c r="A385" s="25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</row>
    <row r="386" spans="1:49" ht="12.75">
      <c r="A386" s="25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</row>
    <row r="387" spans="1:49" ht="12.75">
      <c r="A387" s="25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</row>
    <row r="388" spans="1:49" ht="12.75">
      <c r="A388" s="25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</row>
    <row r="389" spans="1:49" ht="12.75">
      <c r="A389" s="25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</row>
    <row r="390" spans="1:49" ht="12.75">
      <c r="A390" s="25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</row>
    <row r="391" spans="1:49" ht="12.75">
      <c r="A391" s="25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</row>
    <row r="392" spans="1:49" ht="12.75">
      <c r="A392" s="25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</row>
    <row r="393" spans="1:49" ht="12.75">
      <c r="A393" s="25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</row>
    <row r="394" spans="1:49" ht="12.75">
      <c r="A394" s="25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</row>
    <row r="395" spans="1:49" ht="12.75">
      <c r="A395" s="25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</row>
    <row r="396" spans="1:49" ht="12.75">
      <c r="A396" s="25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</row>
    <row r="397" spans="1:49" ht="12.75">
      <c r="A397" s="25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</row>
    <row r="398" spans="1:49" ht="12.75">
      <c r="A398" s="25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</row>
    <row r="399" spans="1:49" ht="12.75">
      <c r="A399" s="25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</row>
    <row r="400" spans="1:49" ht="12.75">
      <c r="A400" s="25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</row>
    <row r="401" spans="1:49" ht="12.75">
      <c r="A401" s="25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</row>
    <row r="402" spans="1:49" ht="12.75">
      <c r="A402" s="25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</row>
    <row r="403" spans="1:49" ht="12.75">
      <c r="A403" s="25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</row>
    <row r="404" spans="1:49" ht="12.75">
      <c r="A404" s="25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</row>
    <row r="405" spans="1:49" ht="12.75">
      <c r="A405" s="25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</row>
    <row r="406" spans="1:49" ht="12.75">
      <c r="A406" s="25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</row>
    <row r="407" spans="1:49" ht="12.75">
      <c r="A407" s="25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</row>
    <row r="408" spans="1:49" ht="12.75">
      <c r="A408" s="25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</row>
    <row r="409" spans="1:49" ht="12.75">
      <c r="A409" s="25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</row>
    <row r="410" spans="1:49" ht="12.75">
      <c r="A410" s="25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</row>
    <row r="411" spans="1:49" ht="12.75">
      <c r="A411" s="25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</row>
    <row r="412" spans="1:49" ht="12.75">
      <c r="A412" s="25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</row>
    <row r="413" spans="1:49" ht="12.75">
      <c r="A413" s="25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</row>
    <row r="414" spans="1:49" ht="12.75">
      <c r="A414" s="25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</row>
    <row r="415" spans="1:49" ht="12.75">
      <c r="A415" s="25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</row>
    <row r="416" spans="1:49" ht="12.75">
      <c r="A416" s="25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</row>
    <row r="417" spans="1:49" ht="12.75">
      <c r="A417" s="25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</row>
    <row r="418" spans="1:49" ht="12.75">
      <c r="A418" s="25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</row>
    <row r="419" spans="1:49" ht="12.75">
      <c r="A419" s="25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</row>
    <row r="420" spans="1:49" ht="12.75">
      <c r="A420" s="25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</row>
    <row r="421" spans="1:49" ht="12.75">
      <c r="A421" s="25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</row>
    <row r="422" spans="1:49" ht="12.75">
      <c r="A422" s="25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</row>
    <row r="423" spans="1:49" ht="12.75">
      <c r="A423" s="25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</row>
    <row r="424" spans="1:49" ht="12.75">
      <c r="A424" s="25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</row>
    <row r="425" spans="1:49" ht="12.75">
      <c r="A425" s="25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</row>
    <row r="426" spans="1:49" ht="12.75">
      <c r="A426" s="25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</row>
    <row r="427" spans="1:49" ht="12.75">
      <c r="A427" s="25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</row>
    <row r="428" spans="1:49" ht="12.75">
      <c r="A428" s="25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</row>
    <row r="429" spans="1:49" ht="12.75">
      <c r="A429" s="25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</row>
    <row r="430" spans="1:49" ht="12.75">
      <c r="A430" s="25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</row>
    <row r="431" spans="1:49" ht="12.75">
      <c r="A431" s="25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</row>
    <row r="432" spans="1:49" ht="12.75">
      <c r="A432" s="25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</row>
    <row r="433" spans="1:49" ht="12.75">
      <c r="A433" s="25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</row>
    <row r="434" spans="1:49" ht="12.75">
      <c r="A434" s="25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</row>
    <row r="435" spans="1:49" ht="12.75">
      <c r="A435" s="25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</row>
    <row r="436" spans="1:49" ht="12.75">
      <c r="A436" s="25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</row>
    <row r="437" spans="1:49" ht="12.75">
      <c r="A437" s="25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</row>
    <row r="438" spans="1:49" ht="12.75">
      <c r="A438" s="25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</row>
    <row r="439" spans="1:49" ht="12.75">
      <c r="A439" s="25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</row>
    <row r="440" spans="1:49" ht="12.75">
      <c r="A440" s="25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</row>
    <row r="441" spans="1:49" ht="12.75">
      <c r="A441" s="25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</row>
    <row r="442" spans="1:49" ht="12.75">
      <c r="A442" s="25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</row>
    <row r="443" spans="1:49" ht="12.75">
      <c r="A443" s="25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</row>
    <row r="444" spans="1:49" ht="12.75">
      <c r="A444" s="25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</row>
    <row r="445" spans="1:49" ht="12.75">
      <c r="A445" s="25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</row>
    <row r="446" spans="1:49" ht="12.75">
      <c r="A446" s="25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</row>
    <row r="447" spans="1:49" ht="12.75">
      <c r="A447" s="25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</row>
    <row r="448" spans="1:49" ht="12.75">
      <c r="A448" s="25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</row>
    <row r="449" spans="1:49" ht="12.75">
      <c r="A449" s="25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</row>
    <row r="450" spans="1:49" ht="12.75">
      <c r="A450" s="25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</row>
    <row r="451" spans="1:49" ht="12.75">
      <c r="A451" s="25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</row>
    <row r="452" spans="1:49" ht="12.75">
      <c r="A452" s="25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</row>
    <row r="453" spans="1:49" ht="12.75">
      <c r="A453" s="25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</row>
    <row r="454" spans="1:49" ht="12.75">
      <c r="A454" s="25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</row>
    <row r="455" spans="1:49" ht="12.75">
      <c r="A455" s="25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</row>
    <row r="456" spans="1:49" ht="12.75">
      <c r="A456" s="25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</row>
    <row r="457" spans="1:49" ht="12.75">
      <c r="A457" s="25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</row>
    <row r="458" spans="1:49" ht="12.75">
      <c r="A458" s="25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</row>
    <row r="459" spans="1:49" ht="12.75">
      <c r="A459" s="25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</row>
    <row r="460" spans="1:49" ht="12.75">
      <c r="A460" s="25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</row>
    <row r="461" spans="1:49" ht="12.75">
      <c r="A461" s="25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</row>
    <row r="462" spans="1:49" ht="12.75">
      <c r="A462" s="25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</row>
    <row r="463" spans="1:49" ht="12.75">
      <c r="A463" s="25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</row>
    <row r="464" spans="1:49" ht="12.75">
      <c r="A464" s="25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</row>
    <row r="465" spans="1:49" ht="12.75">
      <c r="A465" s="25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</row>
    <row r="466" spans="1:49" ht="12.75">
      <c r="A466" s="25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</row>
    <row r="467" spans="1:49" ht="12.75">
      <c r="A467" s="25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</row>
    <row r="468" spans="1:49" ht="12.75">
      <c r="A468" s="25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</row>
    <row r="469" spans="1:49" ht="12.75">
      <c r="A469" s="25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</row>
    <row r="470" spans="1:49" ht="12.75">
      <c r="A470" s="25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</row>
    <row r="471" spans="1:49" ht="12.75">
      <c r="A471" s="25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</row>
    <row r="472" spans="1:49" ht="12.75">
      <c r="A472" s="25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</row>
    <row r="473" spans="1:49" ht="12.75">
      <c r="A473" s="25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</row>
    <row r="474" spans="1:49" ht="12.75">
      <c r="A474" s="25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</row>
    <row r="475" spans="1:49" ht="12.75">
      <c r="A475" s="25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</row>
    <row r="476" spans="1:49" ht="12.75">
      <c r="A476" s="25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</row>
    <row r="477" spans="1:49" ht="12.75">
      <c r="A477" s="25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</row>
    <row r="478" spans="1:49" ht="12.75">
      <c r="A478" s="25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</row>
    <row r="479" spans="1:49" ht="12.75">
      <c r="A479" s="25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</row>
    <row r="480" spans="1:49" ht="12.75">
      <c r="A480" s="25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</row>
    <row r="481" spans="1:49" ht="12.75">
      <c r="A481" s="25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</row>
    <row r="482" spans="1:49" ht="12.75">
      <c r="A482" s="25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</row>
    <row r="483" spans="1:49" ht="12.75">
      <c r="A483" s="25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</row>
    <row r="484" spans="1:49" ht="12.75">
      <c r="A484" s="25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</row>
    <row r="485" spans="1:49" ht="12.75">
      <c r="A485" s="25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</row>
    <row r="486" spans="1:49" ht="12.75">
      <c r="A486" s="25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</row>
    <row r="487" spans="1:49" ht="12.75">
      <c r="A487" s="25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</row>
    <row r="488" spans="1:49" ht="12.75">
      <c r="A488" s="25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</row>
    <row r="489" spans="1:49" ht="12.75">
      <c r="A489" s="25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</row>
    <row r="490" spans="1:49" ht="12.75">
      <c r="A490" s="25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</row>
    <row r="491" spans="1:49" ht="12.75">
      <c r="A491" s="25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</row>
    <row r="492" spans="1:49" ht="12.75">
      <c r="A492" s="25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</row>
    <row r="493" spans="1:49" ht="12.75">
      <c r="A493" s="25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</row>
    <row r="494" spans="1:49" ht="12.75">
      <c r="A494" s="25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</row>
    <row r="495" spans="1:49" ht="12.75">
      <c r="A495" s="25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</row>
    <row r="496" spans="1:49" ht="12.75">
      <c r="A496" s="25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</row>
    <row r="497" spans="1:49" ht="12.75">
      <c r="A497" s="25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</row>
    <row r="498" spans="1:49" ht="12.75">
      <c r="A498" s="25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</row>
    <row r="499" spans="1:49" ht="12.75">
      <c r="A499" s="25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</row>
    <row r="500" spans="1:49" ht="12.75">
      <c r="A500" s="25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</row>
    <row r="501" spans="1:49" ht="12.75">
      <c r="A501" s="25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</row>
    <row r="502" spans="1:49" ht="12.75">
      <c r="A502" s="25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</row>
    <row r="503" spans="1:49" ht="12.75">
      <c r="A503" s="25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</row>
    <row r="504" spans="1:49" ht="12.75">
      <c r="A504" s="25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</row>
    <row r="505" spans="1:49" ht="12.75">
      <c r="A505" s="25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</row>
    <row r="506" spans="1:49" ht="12.75">
      <c r="A506" s="25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</row>
    <row r="507" spans="1:49" ht="12.75">
      <c r="A507" s="25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</row>
    <row r="508" spans="1:49" ht="12.75">
      <c r="A508" s="25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</row>
    <row r="509" spans="1:49" ht="12.75">
      <c r="A509" s="25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</row>
    <row r="510" spans="1:49" ht="12.75">
      <c r="A510" s="25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</row>
    <row r="511" spans="1:49" ht="12.75">
      <c r="A511" s="25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</row>
    <row r="512" spans="1:49" ht="12.75">
      <c r="A512" s="25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</row>
    <row r="513" spans="1:49" ht="12.75">
      <c r="A513" s="25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</row>
    <row r="514" spans="1:49" ht="12.75">
      <c r="A514" s="25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</row>
    <row r="515" spans="1:49" ht="12.75">
      <c r="A515" s="25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</row>
    <row r="516" spans="1:49" ht="12.75">
      <c r="A516" s="25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</row>
    <row r="517" spans="1:49" ht="12.75">
      <c r="A517" s="25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</row>
    <row r="518" spans="1:49" ht="12.75">
      <c r="A518" s="25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</row>
    <row r="519" spans="1:49" ht="12.75">
      <c r="A519" s="25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</row>
    <row r="520" spans="1:49" ht="12.75">
      <c r="A520" s="25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</row>
    <row r="521" spans="1:49" ht="12.75">
      <c r="A521" s="25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</row>
    <row r="522" spans="1:49" ht="12.75">
      <c r="A522" s="25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</row>
    <row r="523" spans="1:49" ht="12.75">
      <c r="A523" s="25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</row>
    <row r="524" spans="1:49" ht="12.75">
      <c r="A524" s="25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</row>
    <row r="525" spans="1:49" ht="12.75">
      <c r="A525" s="25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</row>
    <row r="526" spans="1:49" ht="12.75">
      <c r="A526" s="25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</row>
    <row r="527" spans="1:49" ht="12.75">
      <c r="A527" s="25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</row>
    <row r="528" spans="1:49" ht="12.75">
      <c r="A528" s="25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</row>
    <row r="529" spans="1:49" ht="12.75">
      <c r="A529" s="25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</row>
    <row r="530" spans="1:49" ht="12.75">
      <c r="A530" s="25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</row>
    <row r="531" spans="1:49" ht="12.75">
      <c r="A531" s="25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</row>
    <row r="532" spans="1:49" ht="12.75">
      <c r="A532" s="25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</row>
    <row r="533" spans="1:49" ht="12.75">
      <c r="A533" s="25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</row>
    <row r="534" spans="1:49" ht="12.75">
      <c r="A534" s="25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</row>
    <row r="535" spans="1:49" ht="12.75">
      <c r="A535" s="25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</row>
    <row r="536" spans="1:49" ht="12.75">
      <c r="A536" s="25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</row>
    <row r="537" spans="1:49" ht="12.75">
      <c r="A537" s="25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</row>
    <row r="538" spans="1:49" ht="12.75">
      <c r="A538" s="25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</row>
    <row r="539" spans="1:49" ht="12.75">
      <c r="A539" s="25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</row>
    <row r="540" spans="1:49" ht="12.75">
      <c r="A540" s="25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</row>
    <row r="541" spans="1:49" ht="12.75">
      <c r="A541" s="25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</row>
    <row r="542" spans="1:49" ht="12.75">
      <c r="A542" s="25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</row>
    <row r="543" spans="1:49" ht="12.75">
      <c r="A543" s="25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</row>
    <row r="544" spans="1:49" ht="12.75">
      <c r="A544" s="25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</row>
    <row r="545" spans="1:49" ht="12.75">
      <c r="A545" s="25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</row>
    <row r="546" spans="1:49" ht="12.75">
      <c r="A546" s="25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</row>
    <row r="547" spans="1:49" ht="12.75">
      <c r="A547" s="25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</row>
    <row r="548" spans="1:49" ht="12.75">
      <c r="A548" s="25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</row>
    <row r="549" spans="1:49" ht="12.75">
      <c r="A549" s="25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</row>
    <row r="550" spans="1:49" ht="12.75">
      <c r="A550" s="25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</row>
    <row r="551" spans="1:49" ht="12.75">
      <c r="A551" s="25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</row>
    <row r="552" spans="1:49" ht="12.75">
      <c r="A552" s="25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</row>
    <row r="553" spans="1:49" ht="12.75">
      <c r="A553" s="25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</row>
    <row r="554" spans="1:49" ht="12.75">
      <c r="A554" s="25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</row>
    <row r="555" spans="1:49" ht="12.75">
      <c r="A555" s="25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</row>
    <row r="556" spans="1:49" ht="12.75">
      <c r="A556" s="25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</row>
    <row r="557" spans="1:49" ht="12.75">
      <c r="A557" s="25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</row>
    <row r="558" spans="1:49" ht="12.75">
      <c r="A558" s="25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</row>
    <row r="559" spans="1:49" ht="12.75">
      <c r="A559" s="25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</row>
    <row r="560" spans="1:49" ht="12.75">
      <c r="A560" s="25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</row>
    <row r="561" spans="1:49" ht="12.75">
      <c r="A561" s="25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</row>
    <row r="562" spans="1:49" ht="12.75">
      <c r="A562" s="25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</row>
    <row r="563" spans="1:49" ht="12.75">
      <c r="A563" s="25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</row>
    <row r="564" spans="1:49" ht="12.75">
      <c r="A564" s="25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</row>
    <row r="565" spans="1:49" ht="12.75">
      <c r="A565" s="25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</row>
    <row r="566" spans="1:49" ht="12.75">
      <c r="A566" s="25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</row>
    <row r="567" spans="1:49" ht="12.75">
      <c r="A567" s="25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</row>
    <row r="568" spans="1:49" ht="12.75">
      <c r="A568" s="25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</row>
    <row r="569" spans="1:49" ht="12.75">
      <c r="A569" s="25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</row>
    <row r="570" spans="1:49" ht="12.75">
      <c r="A570" s="25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</row>
    <row r="571" spans="1:49" ht="12.75">
      <c r="A571" s="25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</row>
    <row r="572" spans="1:49" ht="12.75">
      <c r="A572" s="25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</row>
    <row r="573" spans="1:49" ht="12.75">
      <c r="A573" s="25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</row>
    <row r="574" spans="1:49" ht="12.75">
      <c r="A574" s="25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</row>
    <row r="575" spans="1:49" ht="12.75">
      <c r="A575" s="25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</row>
    <row r="576" spans="1:49" ht="12.75">
      <c r="A576" s="25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</row>
    <row r="577" spans="1:49" ht="12.75">
      <c r="A577" s="25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</row>
    <row r="578" spans="1:49" ht="12.75">
      <c r="A578" s="25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</row>
    <row r="579" spans="1:49" ht="12.75">
      <c r="A579" s="25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</row>
    <row r="580" spans="1:49" ht="12.75">
      <c r="A580" s="25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</row>
    <row r="581" spans="1:49" ht="12.75">
      <c r="A581" s="25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</row>
    <row r="582" spans="1:49" ht="12.75">
      <c r="A582" s="25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</row>
    <row r="583" spans="1:49" ht="12.75">
      <c r="A583" s="25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</row>
    <row r="584" spans="1:49" ht="12.75">
      <c r="A584" s="25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</row>
    <row r="585" spans="1:49" ht="12.75">
      <c r="A585" s="25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</row>
    <row r="586" spans="1:49" ht="12.75">
      <c r="A586" s="25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</row>
    <row r="587" spans="1:49" ht="12.75">
      <c r="A587" s="25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</row>
    <row r="588" spans="1:49" ht="12.75">
      <c r="A588" s="25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</row>
    <row r="589" spans="1:49" ht="12.75">
      <c r="A589" s="25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</row>
    <row r="590" spans="1:49" ht="12.75">
      <c r="A590" s="25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</row>
    <row r="591" spans="1:49" ht="12.75">
      <c r="A591" s="25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</row>
    <row r="592" spans="1:49" ht="12.75">
      <c r="A592" s="25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</row>
    <row r="593" spans="1:49" ht="12.75">
      <c r="A593" s="25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</row>
    <row r="594" spans="1:49" ht="12.75">
      <c r="A594" s="25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</row>
    <row r="595" spans="1:49" ht="12.75">
      <c r="A595" s="25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</row>
    <row r="596" spans="1:49" ht="12.75">
      <c r="A596" s="25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</row>
    <row r="597" spans="1:49" ht="12.75">
      <c r="A597" s="25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</row>
    <row r="598" spans="1:49" ht="12.75">
      <c r="A598" s="25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</row>
    <row r="599" spans="1:49" ht="12.75">
      <c r="A599" s="25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</row>
    <row r="600" spans="1:49" ht="12.75">
      <c r="A600" s="25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</row>
    <row r="601" spans="1:49" ht="12.75">
      <c r="A601" s="25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</row>
    <row r="602" spans="1:49" ht="12.75">
      <c r="A602" s="25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</row>
    <row r="603" spans="1:49" ht="12.75">
      <c r="A603" s="25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</row>
    <row r="604" spans="1:49" ht="12.75">
      <c r="A604" s="25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</row>
    <row r="605" spans="1:49" ht="12.75">
      <c r="A605" s="25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</row>
    <row r="606" spans="1:49" ht="12.75">
      <c r="A606" s="25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</row>
    <row r="607" spans="1:49" ht="12.75">
      <c r="A607" s="25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</row>
    <row r="608" spans="1:49" ht="12.75">
      <c r="A608" s="25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</row>
    <row r="609" spans="1:49" ht="12.75">
      <c r="A609" s="25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</row>
    <row r="610" spans="1:49" ht="12.75">
      <c r="A610" s="25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</row>
    <row r="611" spans="1:49" ht="12.75">
      <c r="A611" s="25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</row>
    <row r="612" spans="1:49" ht="12.75">
      <c r="A612" s="25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</row>
    <row r="613" spans="1:49" ht="12.75">
      <c r="A613" s="25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</row>
    <row r="614" spans="1:49" ht="12.75">
      <c r="A614" s="25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</row>
    <row r="615" spans="1:49" ht="12.75">
      <c r="A615" s="25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</row>
    <row r="616" spans="1:49" ht="12.75">
      <c r="A616" s="25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</row>
    <row r="617" spans="1:49" ht="12.75">
      <c r="A617" s="25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</row>
    <row r="618" spans="1:49" ht="12.75">
      <c r="A618" s="25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</row>
    <row r="619" spans="1:49" ht="12.75">
      <c r="A619" s="25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</row>
    <row r="620" spans="1:49" ht="12.75">
      <c r="A620" s="25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</row>
    <row r="621" spans="1:49" ht="12.75">
      <c r="A621" s="25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</row>
    <row r="622" spans="1:49" ht="12.75">
      <c r="A622" s="25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</row>
    <row r="623" spans="1:49" ht="12.75">
      <c r="A623" s="25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</row>
    <row r="624" spans="1:49" ht="12.75">
      <c r="A624" s="25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</row>
    <row r="625" spans="1:49" ht="12.75">
      <c r="A625" s="25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</row>
    <row r="626" spans="1:49" ht="12.75">
      <c r="A626" s="25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</row>
    <row r="627" spans="1:49" ht="12.75">
      <c r="A627" s="25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</row>
    <row r="628" spans="1:49" ht="12.75">
      <c r="A628" s="25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</row>
    <row r="629" spans="1:49" ht="12.75">
      <c r="A629" s="25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</row>
    <row r="630" spans="1:49" ht="12.75">
      <c r="A630" s="25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</row>
    <row r="631" spans="1:49" ht="12.75">
      <c r="A631" s="25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</row>
    <row r="632" spans="1:49" ht="12.75">
      <c r="A632" s="25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</row>
    <row r="633" spans="1:49" ht="12.75">
      <c r="A633" s="25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</row>
    <row r="634" spans="1:49" ht="12.75">
      <c r="A634" s="25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</row>
    <row r="635" spans="1:49" ht="12.75">
      <c r="A635" s="25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</row>
    <row r="636" spans="1:49" ht="12.75">
      <c r="A636" s="25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</row>
    <row r="637" spans="1:49" ht="12.75">
      <c r="A637" s="25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</row>
    <row r="638" spans="1:49" ht="12.75">
      <c r="A638" s="25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</row>
    <row r="639" spans="1:49" ht="12.75">
      <c r="A639" s="25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</row>
    <row r="640" spans="1:49" ht="12.75">
      <c r="A640" s="25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</row>
    <row r="641" spans="1:49" ht="12.75">
      <c r="A641" s="25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</row>
    <row r="642" spans="1:49" ht="12.75">
      <c r="A642" s="25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</row>
    <row r="643" spans="1:49" ht="12.75">
      <c r="A643" s="25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</row>
    <row r="644" spans="1:49" ht="12.75">
      <c r="A644" s="25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</row>
    <row r="645" spans="1:49" ht="12.75">
      <c r="A645" s="25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</row>
    <row r="646" spans="1:49" ht="12.75">
      <c r="A646" s="25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</row>
    <row r="647" spans="1:49" ht="12.75">
      <c r="A647" s="25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</row>
    <row r="648" spans="1:49" ht="12.75">
      <c r="A648" s="25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</row>
    <row r="649" spans="1:49" ht="12.75">
      <c r="A649" s="25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</row>
    <row r="650" spans="1:49" ht="12.75">
      <c r="A650" s="25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</row>
    <row r="651" spans="1:49" ht="12.75">
      <c r="A651" s="25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</row>
    <row r="652" spans="1:49" ht="12.75">
      <c r="A652" s="25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</row>
    <row r="653" spans="1:49" ht="12.75">
      <c r="A653" s="25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</row>
    <row r="654" spans="1:49" ht="12.75">
      <c r="A654" s="25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</row>
    <row r="655" spans="1:49" ht="12.75">
      <c r="A655" s="25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</row>
    <row r="656" spans="1:49" ht="12.75">
      <c r="A656" s="25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</row>
    <row r="657" spans="1:49" ht="12.75">
      <c r="A657" s="25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</row>
    <row r="658" spans="1:49" ht="12.75">
      <c r="A658" s="25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</row>
    <row r="659" spans="1:49" ht="12.75">
      <c r="A659" s="25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</row>
    <row r="660" spans="1:49" ht="12.75">
      <c r="A660" s="25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</row>
    <row r="661" spans="1:49" ht="12.75">
      <c r="A661" s="25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</row>
    <row r="662" spans="1:49" ht="12.75">
      <c r="A662" s="25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</row>
    <row r="663" spans="1:49" ht="12.75">
      <c r="A663" s="25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</row>
    <row r="664" spans="1:49" ht="12.75">
      <c r="A664" s="25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</row>
    <row r="665" spans="1:49" ht="12.75">
      <c r="A665" s="25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</row>
    <row r="666" spans="1:49" ht="12.75">
      <c r="A666" s="25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</row>
    <row r="667" spans="1:49" ht="12.75">
      <c r="A667" s="25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</row>
    <row r="668" spans="1:49" ht="12.75">
      <c r="A668" s="25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</row>
    <row r="669" spans="1:49" ht="12.75">
      <c r="A669" s="25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</row>
    <row r="670" spans="1:49" ht="12.75">
      <c r="A670" s="25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</row>
    <row r="671" spans="1:49" ht="12.75">
      <c r="A671" s="25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</row>
    <row r="672" spans="1:49" ht="12.75">
      <c r="A672" s="25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</row>
    <row r="673" spans="1:49" ht="12.75">
      <c r="A673" s="25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</row>
    <row r="674" spans="1:49" ht="12.75">
      <c r="A674" s="25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</row>
    <row r="675" spans="1:49" ht="12.75">
      <c r="A675" s="25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</row>
    <row r="676" spans="1:49" ht="12.75">
      <c r="A676" s="25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</row>
    <row r="677" spans="1:49" ht="12.75">
      <c r="A677" s="25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</row>
    <row r="678" spans="1:49" ht="12.75">
      <c r="A678" s="25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</row>
    <row r="679" spans="1:49" ht="12.75">
      <c r="A679" s="25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</row>
    <row r="680" spans="1:49" ht="12.75">
      <c r="A680" s="25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</row>
    <row r="681" spans="1:49" ht="12.75">
      <c r="A681" s="25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</row>
    <row r="682" spans="1:49" ht="12.75">
      <c r="A682" s="25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</row>
    <row r="683" spans="1:49" ht="12.75">
      <c r="A683" s="25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</row>
    <row r="684" spans="1:49" ht="12.75">
      <c r="A684" s="25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</row>
    <row r="685" spans="1:49" ht="12.75">
      <c r="A685" s="25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</row>
    <row r="686" spans="1:49" ht="12.75">
      <c r="A686" s="25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</row>
    <row r="687" spans="1:49" ht="12.75">
      <c r="A687" s="25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</row>
    <row r="688" spans="1:49" ht="12.75">
      <c r="A688" s="25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</row>
    <row r="689" spans="1:49" ht="12.75">
      <c r="A689" s="25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</row>
    <row r="690" spans="1:49" ht="12.75">
      <c r="A690" s="25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</row>
    <row r="691" spans="1:49" ht="12.75">
      <c r="A691" s="25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</row>
    <row r="692" spans="1:49" ht="12.75">
      <c r="A692" s="25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</row>
    <row r="693" spans="1:49" ht="12.75">
      <c r="A693" s="25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</row>
    <row r="694" spans="1:49" ht="12.75">
      <c r="A694" s="25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</row>
    <row r="695" spans="1:49" ht="12.75">
      <c r="A695" s="25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</row>
    <row r="696" spans="1:49" ht="12.75">
      <c r="A696" s="25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</row>
    <row r="697" spans="1:49" ht="12.75">
      <c r="A697" s="25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</row>
    <row r="698" spans="1:49" ht="12.75">
      <c r="A698" s="25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</row>
    <row r="699" spans="1:49" ht="12.75">
      <c r="A699" s="25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</row>
    <row r="700" spans="1:49" ht="12.75">
      <c r="A700" s="25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</row>
    <row r="701" spans="1:49" ht="12.75">
      <c r="A701" s="25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</row>
    <row r="702" spans="1:49" ht="12.75">
      <c r="A702" s="25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</row>
    <row r="703" spans="1:49" ht="12.75">
      <c r="A703" s="25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</row>
    <row r="704" spans="1:49" ht="12.75">
      <c r="A704" s="25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</row>
    <row r="705" spans="1:49" ht="12.75">
      <c r="A705" s="25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</row>
    <row r="706" spans="1:49" ht="12.75">
      <c r="A706" s="25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</row>
    <row r="707" spans="1:49" ht="12.75">
      <c r="A707" s="25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</row>
    <row r="708" spans="1:49" ht="12.75">
      <c r="A708" s="25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</row>
    <row r="709" spans="1:49" ht="12.75">
      <c r="A709" s="25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</row>
    <row r="710" spans="1:49" ht="12.75">
      <c r="A710" s="25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</row>
    <row r="711" spans="1:49" ht="12.75">
      <c r="A711" s="25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</row>
    <row r="712" spans="1:49" ht="12.75">
      <c r="A712" s="25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</row>
    <row r="713" spans="1:49" ht="12.75">
      <c r="A713" s="25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</row>
    <row r="714" spans="1:49" ht="12.75">
      <c r="A714" s="25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</row>
    <row r="715" spans="1:49" ht="12.75">
      <c r="A715" s="25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</row>
    <row r="716" spans="1:49" ht="12.75">
      <c r="A716" s="25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</row>
    <row r="717" spans="1:49" ht="12.75">
      <c r="A717" s="25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</row>
    <row r="718" spans="1:49" ht="12.75">
      <c r="A718" s="25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</row>
    <row r="719" spans="1:49" ht="12.75">
      <c r="A719" s="25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</row>
    <row r="720" spans="1:49" ht="12.75">
      <c r="A720" s="25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</row>
    <row r="721" spans="1:49" ht="12.75">
      <c r="A721" s="25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</row>
    <row r="722" spans="1:49" ht="12.75">
      <c r="A722" s="25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</row>
    <row r="723" spans="1:49" ht="12.75">
      <c r="A723" s="25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</row>
    <row r="724" spans="1:49" ht="12.75">
      <c r="A724" s="25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</row>
    <row r="725" spans="1:49" ht="12.75">
      <c r="A725" s="25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</row>
    <row r="726" spans="1:49" ht="12.75">
      <c r="A726" s="25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</row>
    <row r="727" spans="1:49" ht="12.75">
      <c r="A727" s="25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</row>
    <row r="728" spans="1:49" ht="12.75">
      <c r="A728" s="25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</row>
    <row r="729" spans="1:49" ht="12.75">
      <c r="A729" s="25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</row>
    <row r="730" spans="1:49" ht="12.75">
      <c r="A730" s="25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</row>
    <row r="731" spans="1:49" ht="12.75">
      <c r="A731" s="25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</row>
    <row r="732" spans="1:49" ht="12.75">
      <c r="A732" s="25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</row>
    <row r="733" spans="1:49" ht="12.75">
      <c r="A733" s="25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</row>
    <row r="734" spans="1:49" ht="12.75">
      <c r="A734" s="25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</row>
    <row r="735" spans="1:49" ht="12.75">
      <c r="A735" s="25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</row>
    <row r="736" spans="1:49" ht="12.75">
      <c r="A736" s="25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</row>
    <row r="737" spans="1:49" ht="12.75">
      <c r="A737" s="25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</row>
    <row r="738" spans="1:49" ht="12.75">
      <c r="A738" s="25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</row>
    <row r="739" spans="1:49" ht="12.75">
      <c r="A739" s="25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</row>
    <row r="740" spans="1:49" ht="12.75">
      <c r="A740" s="25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</row>
    <row r="741" spans="1:49" ht="12.75">
      <c r="A741" s="25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</row>
    <row r="742" spans="1:49" ht="12.75">
      <c r="A742" s="25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</row>
    <row r="743" spans="1:49" ht="12.75">
      <c r="A743" s="25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</row>
    <row r="744" spans="1:49" ht="12.75">
      <c r="A744" s="25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</row>
    <row r="745" spans="1:49" ht="12.75">
      <c r="A745" s="25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</row>
    <row r="746" spans="1:49" ht="12.75">
      <c r="A746" s="25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</row>
    <row r="747" spans="1:49" ht="12.75">
      <c r="A747" s="25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</row>
    <row r="748" spans="1:49" ht="12.75">
      <c r="A748" s="25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</row>
    <row r="749" spans="1:49" ht="12.75">
      <c r="A749" s="25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</row>
    <row r="750" spans="1:49" ht="12.75">
      <c r="A750" s="25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</row>
    <row r="751" spans="1:49" ht="12.75">
      <c r="A751" s="25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</row>
    <row r="752" spans="1:49" ht="12.75">
      <c r="A752" s="25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</row>
    <row r="753" spans="1:49" ht="12.75">
      <c r="A753" s="25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</row>
    <row r="754" spans="1:49" ht="12.75">
      <c r="A754" s="25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</row>
    <row r="755" spans="1:49" ht="12.75">
      <c r="A755" s="25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</row>
    <row r="756" spans="1:49" ht="12.75">
      <c r="A756" s="25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</row>
    <row r="757" spans="1:49" ht="12.75">
      <c r="A757" s="25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</row>
    <row r="758" spans="1:49" ht="12.75">
      <c r="A758" s="25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</row>
    <row r="759" spans="1:49" ht="12.75">
      <c r="A759" s="25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</row>
    <row r="760" spans="1:49" ht="12.75">
      <c r="A760" s="25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</row>
    <row r="761" spans="1:49" ht="12.75">
      <c r="A761" s="25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</row>
    <row r="762" spans="1:49" ht="12.75">
      <c r="A762" s="25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</row>
    <row r="763" spans="1:49" ht="12.75">
      <c r="A763" s="25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</row>
    <row r="764" spans="1:49" ht="12.75">
      <c r="A764" s="25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</row>
    <row r="765" spans="1:49" ht="12.75">
      <c r="A765" s="25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</row>
    <row r="766" spans="1:49" ht="12.75">
      <c r="A766" s="25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</row>
    <row r="767" spans="1:49" ht="12.75">
      <c r="A767" s="25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</row>
    <row r="768" spans="1:49" ht="12.75">
      <c r="A768" s="25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</row>
    <row r="769" spans="1:49" ht="12.75">
      <c r="A769" s="25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</row>
    <row r="770" spans="1:49" ht="12.75">
      <c r="A770" s="25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</row>
    <row r="771" spans="1:49" ht="12.75">
      <c r="A771" s="25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</row>
    <row r="772" spans="1:49" ht="12.75">
      <c r="A772" s="25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</row>
    <row r="773" spans="1:49" ht="12.75">
      <c r="A773" s="25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</row>
    <row r="774" spans="1:49" ht="12.75">
      <c r="A774" s="25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</row>
    <row r="775" spans="1:49" ht="12.75">
      <c r="A775" s="25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</row>
    <row r="776" spans="1:49" ht="12.75">
      <c r="A776" s="25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</row>
    <row r="777" spans="1:49" ht="12.75">
      <c r="A777" s="25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</row>
    <row r="778" spans="1:49" ht="12.75">
      <c r="A778" s="25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</row>
    <row r="779" spans="1:49" ht="12.75">
      <c r="A779" s="25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</row>
    <row r="780" spans="1:49" ht="12.75">
      <c r="A780" s="25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</row>
    <row r="781" spans="1:49" ht="12.75">
      <c r="A781" s="25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</row>
    <row r="782" spans="1:49" ht="12.75">
      <c r="A782" s="25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</row>
    <row r="783" spans="1:49" ht="12.75">
      <c r="A783" s="25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</row>
    <row r="784" spans="1:49" ht="12.75">
      <c r="A784" s="25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</row>
    <row r="785" spans="1:49" ht="12.75">
      <c r="A785" s="25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</row>
    <row r="786" spans="1:49" ht="12.75">
      <c r="A786" s="25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</row>
    <row r="787" spans="1:49" ht="12.75">
      <c r="A787" s="25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</row>
    <row r="788" spans="1:49" ht="12.75">
      <c r="A788" s="25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</row>
    <row r="789" spans="1:49" ht="12.75">
      <c r="A789" s="25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</row>
    <row r="790" spans="1:49" ht="12.75">
      <c r="A790" s="25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</row>
    <row r="791" spans="1:49" ht="12.75">
      <c r="A791" s="25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</row>
    <row r="792" spans="1:49" ht="12.75">
      <c r="A792" s="25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</row>
    <row r="793" spans="1:49" ht="12.75">
      <c r="A793" s="25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</row>
    <row r="794" spans="1:49" ht="12.75">
      <c r="A794" s="25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</row>
    <row r="795" spans="1:49" ht="12.75">
      <c r="A795" s="25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</row>
    <row r="796" spans="1:49" ht="12.75">
      <c r="A796" s="25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</row>
    <row r="797" spans="1:49" ht="12.75">
      <c r="A797" s="25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</row>
    <row r="798" spans="1:49" ht="12.75">
      <c r="A798" s="25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</row>
    <row r="799" spans="1:49" ht="12.75">
      <c r="A799" s="25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</row>
    <row r="800" spans="1:49" ht="12.75">
      <c r="A800" s="25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</row>
    <row r="801" spans="1:49" ht="12.75">
      <c r="A801" s="25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</row>
    <row r="802" spans="1:49" ht="12.75">
      <c r="A802" s="25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</row>
    <row r="803" spans="1:49" ht="12.75">
      <c r="A803" s="25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</row>
    <row r="804" spans="1:49" ht="12.75">
      <c r="A804" s="25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</row>
    <row r="805" spans="1:49" ht="12.75">
      <c r="A805" s="25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</row>
    <row r="806" spans="1:49" ht="12.75">
      <c r="A806" s="25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</row>
    <row r="807" spans="1:49" ht="12.75">
      <c r="A807" s="25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</row>
    <row r="808" spans="1:49" ht="12.75">
      <c r="A808" s="25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</row>
    <row r="809" spans="1:49" ht="12.75">
      <c r="A809" s="25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</row>
    <row r="810" spans="1:49" ht="12.75">
      <c r="A810" s="25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</row>
    <row r="811" spans="1:49" ht="12.75">
      <c r="A811" s="25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</row>
    <row r="812" spans="1:49" ht="12.75">
      <c r="A812" s="25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</row>
    <row r="813" spans="1:49" ht="12.75">
      <c r="A813" s="25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</row>
    <row r="814" spans="1:49" ht="12.75">
      <c r="A814" s="25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</row>
    <row r="815" spans="1:49" ht="12.75">
      <c r="A815" s="25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</row>
    <row r="816" spans="1:49" ht="12.75">
      <c r="A816" s="25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</row>
    <row r="817" spans="1:49" ht="12.75">
      <c r="A817" s="25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</row>
    <row r="818" spans="1:49" ht="12.75">
      <c r="A818" s="25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</row>
    <row r="819" spans="1:49" ht="12.75">
      <c r="A819" s="25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</row>
    <row r="820" spans="1:49" ht="12.75">
      <c r="A820" s="25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</row>
    <row r="821" spans="1:49" ht="12.75">
      <c r="A821" s="25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</row>
    <row r="822" spans="1:49" ht="12.75">
      <c r="A822" s="25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</row>
    <row r="823" spans="1:49" ht="12.75">
      <c r="A823" s="25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</row>
    <row r="824" spans="1:49" ht="12.75">
      <c r="A824" s="25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</row>
    <row r="825" spans="1:49" ht="12.75">
      <c r="A825" s="25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</row>
    <row r="826" spans="1:49" ht="12.75">
      <c r="A826" s="25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</row>
    <row r="827" spans="1:49" ht="12.75">
      <c r="A827" s="25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</row>
    <row r="828" spans="1:49" ht="12.75">
      <c r="A828" s="25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</row>
    <row r="829" spans="1:49" ht="12.75">
      <c r="A829" s="25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</row>
    <row r="830" spans="1:49" ht="12.75">
      <c r="A830" s="25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</row>
    <row r="831" spans="1:49" ht="12.75">
      <c r="A831" s="25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</row>
    <row r="832" spans="1:49" ht="12.75">
      <c r="A832" s="25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</row>
    <row r="833" spans="1:49" ht="12.75">
      <c r="A833" s="25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</row>
    <row r="834" spans="1:49" ht="12.75">
      <c r="A834" s="25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</row>
    <row r="835" spans="1:49" ht="12.75">
      <c r="A835" s="25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</row>
    <row r="836" spans="1:49" ht="12.75">
      <c r="A836" s="25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</row>
    <row r="837" spans="1:49" ht="12.75">
      <c r="A837" s="25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</row>
    <row r="838" spans="1:49" ht="12.75">
      <c r="A838" s="25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</row>
    <row r="839" spans="1:49" ht="12.75">
      <c r="A839" s="25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</row>
    <row r="840" spans="1:49" ht="12.75">
      <c r="A840" s="25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</row>
    <row r="841" spans="1:49" ht="12.75">
      <c r="A841" s="25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</row>
    <row r="842" spans="1:49" ht="12.75">
      <c r="A842" s="25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</row>
    <row r="843" spans="1:49" ht="12.75">
      <c r="A843" s="25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</row>
    <row r="844" spans="1:49" ht="12.75">
      <c r="A844" s="25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</row>
    <row r="845" spans="1:49" ht="12.75">
      <c r="A845" s="25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</row>
    <row r="846" spans="1:49" ht="12.75">
      <c r="A846" s="25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</row>
    <row r="847" spans="1:49" ht="12.75">
      <c r="A847" s="25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</row>
    <row r="848" spans="1:49" ht="12.75">
      <c r="A848" s="25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</row>
    <row r="849" spans="1:49" ht="12.75">
      <c r="A849" s="25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</row>
    <row r="850" spans="1:49" ht="12.75">
      <c r="A850" s="25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</row>
    <row r="851" spans="1:49" ht="12.75">
      <c r="A851" s="25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</row>
    <row r="852" spans="1:49" ht="12.75">
      <c r="A852" s="25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</row>
    <row r="853" spans="1:49" ht="12.75">
      <c r="A853" s="25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</row>
    <row r="854" spans="1:49" ht="12.75">
      <c r="A854" s="25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</row>
    <row r="855" spans="1:49" ht="12.75">
      <c r="A855" s="25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</row>
    <row r="856" spans="1:49" ht="12.75">
      <c r="A856" s="25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</row>
    <row r="857" spans="1:49" ht="12.75">
      <c r="A857" s="25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</row>
    <row r="858" spans="1:49" ht="12.75">
      <c r="A858" s="25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</row>
    <row r="859" spans="1:49" ht="12.75">
      <c r="A859" s="25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</row>
    <row r="860" spans="1:49" ht="12.75">
      <c r="A860" s="25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</row>
    <row r="861" spans="1:49" ht="12.75">
      <c r="A861" s="25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</row>
    <row r="862" spans="1:49" ht="12.75">
      <c r="A862" s="25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</row>
    <row r="863" spans="1:49" ht="12.75">
      <c r="A863" s="25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</row>
    <row r="864" spans="1:49" ht="12.75">
      <c r="A864" s="25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</row>
    <row r="865" spans="1:49" ht="12.75">
      <c r="A865" s="25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</row>
    <row r="866" spans="1:49" ht="12.75">
      <c r="A866" s="25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</row>
    <row r="867" spans="1:49" ht="12.75">
      <c r="A867" s="25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</row>
    <row r="868" spans="1:49" ht="12.75">
      <c r="A868" s="25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</row>
    <row r="869" spans="1:49" ht="12.75">
      <c r="A869" s="25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</row>
    <row r="870" spans="1:49" ht="12.75">
      <c r="A870" s="25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</row>
    <row r="871" spans="1:49" ht="12.75">
      <c r="A871" s="25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</row>
    <row r="872" spans="1:49" ht="12.75">
      <c r="A872" s="25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</row>
    <row r="873" spans="1:49" ht="12.75">
      <c r="A873" s="25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</row>
    <row r="874" spans="1:49" ht="12.75">
      <c r="A874" s="25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</row>
    <row r="875" spans="1:49" ht="12.75">
      <c r="A875" s="25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</row>
    <row r="876" spans="1:49" ht="12.75">
      <c r="A876" s="25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</row>
    <row r="877" spans="1:49" ht="12.75">
      <c r="A877" s="25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</row>
    <row r="878" spans="1:49" ht="12.75">
      <c r="A878" s="25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</row>
    <row r="879" spans="1:49" ht="12.75">
      <c r="A879" s="25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</row>
    <row r="880" spans="1:49" ht="12.75">
      <c r="A880" s="25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</row>
    <row r="881" spans="1:49" ht="12.75">
      <c r="A881" s="25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</row>
    <row r="882" spans="1:49" ht="12.75">
      <c r="A882" s="25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</row>
    <row r="883" spans="1:49" ht="12.75">
      <c r="A883" s="25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</row>
    <row r="884" spans="1:49" ht="12.75">
      <c r="A884" s="25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</row>
    <row r="885" spans="1:49" ht="12.75">
      <c r="A885" s="25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</row>
    <row r="886" spans="1:49" ht="12.75">
      <c r="A886" s="25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</row>
    <row r="887" spans="1:49" ht="12.75">
      <c r="A887" s="25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</row>
    <row r="888" spans="1:49" ht="12.75">
      <c r="A888" s="25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</row>
    <row r="889" spans="1:49" ht="12.75">
      <c r="A889" s="25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</row>
    <row r="890" spans="1:49" ht="12.75">
      <c r="A890" s="25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</row>
    <row r="891" spans="1:49" ht="12.75">
      <c r="A891" s="25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</row>
    <row r="892" spans="1:49" ht="12.75">
      <c r="A892" s="25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</row>
    <row r="893" spans="1:49" ht="12.75">
      <c r="A893" s="25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</row>
    <row r="894" spans="1:49" ht="12.75">
      <c r="A894" s="25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</row>
    <row r="895" spans="1:49" ht="12.75">
      <c r="A895" s="25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</row>
    <row r="896" spans="1:49" ht="12.75">
      <c r="A896" s="25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</row>
    <row r="897" spans="1:49" ht="12.75">
      <c r="A897" s="25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</row>
    <row r="898" spans="1:49" ht="12.75">
      <c r="A898" s="25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</row>
    <row r="899" spans="1:49" ht="12.75">
      <c r="A899" s="25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</row>
    <row r="900" spans="1:49" ht="12.75">
      <c r="A900" s="25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</row>
    <row r="901" spans="1:49" ht="12.75">
      <c r="A901" s="25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</row>
    <row r="902" spans="1:49" ht="12.75">
      <c r="A902" s="25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</row>
    <row r="903" spans="1:49" ht="12.75">
      <c r="A903" s="25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</row>
    <row r="904" spans="1:49" ht="12.75">
      <c r="A904" s="25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</row>
    <row r="905" spans="1:49" ht="12.75">
      <c r="A905" s="25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</row>
    <row r="906" spans="1:49" ht="12.75">
      <c r="A906" s="25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</row>
    <row r="907" spans="1:49" ht="12.75">
      <c r="A907" s="25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</row>
    <row r="908" spans="1:49" ht="12.75">
      <c r="A908" s="25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</row>
    <row r="909" spans="1:49" ht="12.75">
      <c r="A909" s="25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</row>
    <row r="910" spans="1:49" ht="12.75">
      <c r="A910" s="25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</row>
    <row r="911" spans="1:49" ht="12.75">
      <c r="A911" s="25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</row>
    <row r="912" spans="1:49" ht="12.75">
      <c r="A912" s="25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</row>
    <row r="913" spans="1:49" ht="12.75">
      <c r="A913" s="25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</row>
    <row r="914" spans="1:49" ht="12.75">
      <c r="A914" s="25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</row>
    <row r="915" spans="1:49" ht="12.75">
      <c r="A915" s="25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</row>
    <row r="916" spans="1:49" ht="12.75">
      <c r="A916" s="25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</row>
    <row r="917" spans="1:49" ht="12.75">
      <c r="A917" s="25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</row>
    <row r="918" spans="1:49" ht="12.75">
      <c r="A918" s="25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</row>
    <row r="919" spans="1:49" ht="12.75">
      <c r="A919" s="25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</row>
    <row r="920" spans="1:49" ht="12.75">
      <c r="A920" s="25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</row>
    <row r="921" spans="1:49" ht="12.75">
      <c r="A921" s="25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</row>
    <row r="922" spans="1:49" ht="12.75">
      <c r="A922" s="25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</row>
    <row r="923" spans="1:49" ht="12.75">
      <c r="A923" s="25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</row>
    <row r="924" spans="1:49" ht="12.75">
      <c r="A924" s="25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</row>
    <row r="925" spans="1:49" ht="12.75">
      <c r="A925" s="25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</row>
    <row r="926" spans="1:49" ht="12.75">
      <c r="A926" s="25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</row>
    <row r="927" spans="1:49" ht="12.75">
      <c r="A927" s="25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</row>
    <row r="928" spans="1:49" ht="12.75">
      <c r="A928" s="25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</row>
    <row r="929" spans="1:49" ht="12.75">
      <c r="A929" s="25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</row>
    <row r="930" spans="1:49" ht="12.75">
      <c r="A930" s="25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</row>
    <row r="931" spans="1:49" ht="12.75">
      <c r="A931" s="25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</row>
    <row r="932" spans="1:49" ht="12.75">
      <c r="A932" s="25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</row>
    <row r="933" spans="1:49" ht="12.75">
      <c r="A933" s="25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</row>
    <row r="934" spans="1:49" ht="12.75">
      <c r="A934" s="25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</row>
    <row r="935" spans="1:49" ht="12.75">
      <c r="A935" s="25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</row>
    <row r="936" spans="1:49" ht="12.75">
      <c r="A936" s="25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</row>
    <row r="937" spans="1:49" ht="12.75">
      <c r="A937" s="25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</row>
    <row r="938" spans="1:49" ht="12.75">
      <c r="A938" s="25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</row>
    <row r="939" spans="1:49" ht="12.75">
      <c r="A939" s="25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</row>
    <row r="940" spans="1:49" ht="12.75">
      <c r="A940" s="25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</row>
    <row r="941" spans="1:49" ht="12.75">
      <c r="A941" s="25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</row>
    <row r="942" spans="1:49" ht="12.75">
      <c r="A942" s="25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</row>
    <row r="943" spans="1:49" ht="12.75">
      <c r="A943" s="25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</row>
    <row r="944" spans="1:49" ht="12.75">
      <c r="A944" s="25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</row>
    <row r="945" spans="1:49" ht="12.75">
      <c r="A945" s="25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</row>
    <row r="946" spans="1:49" ht="12.75">
      <c r="A946" s="25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</row>
    <row r="947" spans="1:49" ht="12.75">
      <c r="A947" s="25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</row>
    <row r="948" spans="1:49" ht="12.75">
      <c r="A948" s="25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</row>
    <row r="949" spans="1:49" ht="12.75">
      <c r="A949" s="25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</row>
    <row r="950" spans="1:49" ht="12.75">
      <c r="A950" s="25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</row>
    <row r="951" spans="1:49" ht="12.75">
      <c r="A951" s="25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</row>
    <row r="952" spans="1:49" ht="12.75">
      <c r="A952" s="25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</row>
    <row r="953" spans="1:49" ht="12.75">
      <c r="A953" s="25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</row>
    <row r="954" spans="1:49" ht="12.75">
      <c r="A954" s="25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</row>
    <row r="955" spans="1:49" ht="12.75">
      <c r="A955" s="25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</row>
    <row r="956" spans="1:49" ht="12.75">
      <c r="A956" s="25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</row>
    <row r="957" spans="1:49" ht="12.75">
      <c r="A957" s="25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</row>
    <row r="958" spans="1:49" ht="12.75">
      <c r="A958" s="25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</row>
    <row r="959" spans="1:49" ht="12.75">
      <c r="A959" s="25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</row>
    <row r="960" spans="1:49" ht="12.75">
      <c r="A960" s="25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</row>
    <row r="961" spans="1:49" ht="12.75">
      <c r="A961" s="25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</row>
    <row r="962" spans="1:49" ht="12.75">
      <c r="A962" s="25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</row>
    <row r="963" spans="1:49" ht="12.75">
      <c r="A963" s="25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</row>
    <row r="964" spans="1:49" ht="12.75">
      <c r="A964" s="25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</row>
    <row r="965" spans="1:49" ht="12.75">
      <c r="A965" s="25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</row>
    <row r="966" spans="1:49" ht="12.75">
      <c r="A966" s="25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</row>
    <row r="967" spans="1:49" ht="12.75">
      <c r="A967" s="25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</row>
    <row r="968" spans="1:49" ht="12.75">
      <c r="A968" s="25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</row>
    <row r="969" spans="1:49" ht="12.75">
      <c r="A969" s="25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</row>
    <row r="970" spans="1:49" ht="12.75">
      <c r="A970" s="25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</row>
    <row r="971" spans="1:49" ht="12.75">
      <c r="A971" s="25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</row>
    <row r="972" spans="1:49" ht="12.75">
      <c r="A972" s="25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</row>
    <row r="973" spans="1:49" ht="12.75">
      <c r="A973" s="25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</row>
    <row r="974" spans="1:49" ht="12.75">
      <c r="A974" s="25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</row>
    <row r="975" spans="1:49" ht="12.75">
      <c r="A975" s="25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</row>
    <row r="976" spans="1:49" ht="12.75">
      <c r="A976" s="25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</row>
    <row r="977" spans="1:49" ht="12.75">
      <c r="A977" s="25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</row>
    <row r="978" spans="1:49" ht="12.75">
      <c r="A978" s="25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</row>
    <row r="979" spans="1:49" ht="12.75">
      <c r="A979" s="25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</row>
    <row r="980" spans="1:49" ht="12.75">
      <c r="A980" s="25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</row>
    <row r="981" spans="1:49" ht="12.75">
      <c r="A981" s="25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</row>
    <row r="982" spans="1:49" ht="12.75">
      <c r="A982" s="25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</row>
    <row r="983" spans="1:49" ht="12.75">
      <c r="A983" s="25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</row>
    <row r="984" spans="1:49" ht="12.75">
      <c r="A984" s="25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</row>
    <row r="985" spans="1:49" ht="12.75">
      <c r="A985" s="25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</row>
    <row r="986" spans="1:49" ht="12.75">
      <c r="A986" s="25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</row>
    <row r="987" spans="1:49" ht="12.75">
      <c r="A987" s="25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</row>
    <row r="988" spans="1:49" ht="12.75">
      <c r="A988" s="25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</row>
    <row r="989" spans="1:49" ht="12.75">
      <c r="A989" s="25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</row>
    <row r="990" spans="1:49" ht="12.75">
      <c r="A990" s="25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</row>
    <row r="991" spans="1:49" ht="12.75">
      <c r="A991" s="25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</row>
    <row r="992" spans="1:49" ht="12.75">
      <c r="A992" s="25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</row>
    <row r="993" spans="1:49" ht="12.75">
      <c r="A993" s="25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</row>
    <row r="994" spans="1:49" ht="12.75">
      <c r="A994" s="25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</row>
    <row r="995" spans="1:49" ht="12.75">
      <c r="A995" s="25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</row>
    <row r="996" spans="1:49" ht="12.75">
      <c r="A996" s="25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</row>
    <row r="997" spans="1:49" ht="12.75">
      <c r="A997" s="25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</row>
    <row r="998" spans="1:49" ht="12.75">
      <c r="A998" s="25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</row>
    <row r="999" spans="1:49" ht="12.75">
      <c r="A999" s="25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</row>
    <row r="1000" spans="1:49" ht="12.75">
      <c r="A1000" s="25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</row>
    <row r="1001" spans="1:49" ht="12.75">
      <c r="A1001" s="25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</row>
    <row r="1002" spans="1:49" ht="12.75">
      <c r="A1002" s="25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</row>
    <row r="1003" spans="1:49" ht="12.75">
      <c r="A1003" s="25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</row>
    <row r="1004" spans="1:49" ht="12.75">
      <c r="A1004" s="25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</row>
    <row r="1005" spans="1:49" ht="12.75">
      <c r="A1005" s="25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</row>
    <row r="1006" spans="1:49" ht="12.75">
      <c r="A1006" s="25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</row>
    <row r="1007" spans="1:49" ht="12.75">
      <c r="A1007" s="25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</row>
    <row r="1008" spans="1:49" ht="12.75">
      <c r="A1008" s="25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</row>
    <row r="1009" spans="1:49" ht="12.75">
      <c r="A1009" s="25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</row>
  </sheetData>
  <mergeCells count="16">
    <mergeCell ref="AT2:AW2"/>
    <mergeCell ref="B1:M1"/>
    <mergeCell ref="N1:Y1"/>
    <mergeCell ref="Z1:AK1"/>
    <mergeCell ref="AL1:AW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rgb="FF34C2CF"/>
    <pageSetUpPr fitToPage="1"/>
  </sheetPr>
  <dimension ref="A1:P33"/>
  <sheetViews>
    <sheetView showGridLines="0" workbookViewId="0">
      <selection activeCell="M4" sqref="M4:M30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1.14062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style="1" customWidth="1"/>
    <col min="18" max="16384" width="8.7109375" style="1"/>
  </cols>
  <sheetData>
    <row r="1" spans="1:16" ht="11.25" customHeight="1"/>
    <row r="2" spans="1:16" ht="18" customHeight="1">
      <c r="A2" s="3"/>
      <c r="B2" s="22"/>
      <c r="C2" s="13"/>
      <c r="D2" s="13"/>
      <c r="E2" s="13"/>
      <c r="F2" s="13"/>
      <c r="G2" s="13"/>
      <c r="H2" s="13"/>
      <c r="I2" s="13"/>
      <c r="J2" s="14"/>
      <c r="K2" s="13"/>
      <c r="L2" s="14"/>
      <c r="M2" s="210" t="s">
        <v>23</v>
      </c>
      <c r="N2" s="211">
        <v>2013</v>
      </c>
      <c r="O2" s="211"/>
      <c r="P2" s="202">
        <f>CalendarYear</f>
        <v>2020</v>
      </c>
    </row>
    <row r="3" spans="1:16" ht="21" customHeight="1">
      <c r="A3" s="3"/>
      <c r="B3" s="209" t="s">
        <v>16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4"/>
      <c r="K3" s="2"/>
      <c r="L3" s="4"/>
      <c r="M3" s="212"/>
      <c r="N3" s="213"/>
      <c r="O3" s="213"/>
      <c r="P3" s="203"/>
    </row>
    <row r="4" spans="1:16" ht="18" customHeight="1">
      <c r="A4" s="3"/>
      <c r="B4" s="209"/>
      <c r="C4" s="5">
        <f>IF(DAY(JunSun1)=1,JunSun1-6,JunSun1+1)</f>
        <v>43982</v>
      </c>
      <c r="D4" s="5">
        <f>IF(DAY(JunSun1)=1,JunSun1-5,JunSun1+2)</f>
        <v>43983</v>
      </c>
      <c r="E4" s="5">
        <f>IF(DAY(JunSun1)=1,JunSun1-4,JunSun1+3)</f>
        <v>43984</v>
      </c>
      <c r="F4" s="5">
        <f>IF(DAY(JunSun1)=1,JunSun1-3,JunSun1+4)</f>
        <v>43985</v>
      </c>
      <c r="G4" s="5">
        <f>IF(DAY(JunSun1)=1,JunSun1-2,JunSun1+5)</f>
        <v>43986</v>
      </c>
      <c r="H4" s="5">
        <f>IF(DAY(JunSun1)=1,JunSun1-1,JunSun1+6)</f>
        <v>43987</v>
      </c>
      <c r="I4" s="5">
        <f>IF(DAY(JunSun1)=1,JunSun1,JunSun1+7)</f>
        <v>43988</v>
      </c>
      <c r="J4" s="4"/>
      <c r="K4" s="5"/>
      <c r="L4" s="4"/>
      <c r="M4" s="214" t="s">
        <v>26</v>
      </c>
      <c r="N4" s="8"/>
      <c r="O4" s="197"/>
      <c r="P4" s="198"/>
    </row>
    <row r="5" spans="1:16" ht="18" customHeight="1">
      <c r="A5" s="3"/>
      <c r="B5" s="20"/>
      <c r="C5" s="5">
        <f>IF(DAY(JunSun1)=1,JunSun1+1,JunSun1+8)</f>
        <v>43989</v>
      </c>
      <c r="D5" s="5">
        <f>IF(DAY(JunSun1)=1,JunSun1+2,JunSun1+9)</f>
        <v>43990</v>
      </c>
      <c r="E5" s="5">
        <f>IF(DAY(JunSun1)=1,JunSun1+3,JunSun1+10)</f>
        <v>43991</v>
      </c>
      <c r="F5" s="5">
        <f>IF(DAY(JunSun1)=1,JunSun1+4,JunSun1+11)</f>
        <v>43992</v>
      </c>
      <c r="G5" s="5">
        <f>IF(DAY(JunSun1)=1,JunSun1+5,JunSun1+12)</f>
        <v>43993</v>
      </c>
      <c r="H5" s="5">
        <f>IF(DAY(JunSun1)=1,JunSun1+6,JunSun1+13)</f>
        <v>43994</v>
      </c>
      <c r="I5" s="5">
        <f>IF(DAY(JunSun1)=1,JunSun1+7,JunSun1+14)</f>
        <v>43995</v>
      </c>
      <c r="J5" s="4"/>
      <c r="K5" s="5"/>
      <c r="L5" s="4"/>
      <c r="M5" s="201"/>
      <c r="N5" s="9"/>
      <c r="O5" s="159"/>
      <c r="P5" s="160"/>
    </row>
    <row r="6" spans="1:16" ht="18" customHeight="1">
      <c r="A6" s="3"/>
      <c r="B6" s="20"/>
      <c r="C6" s="5">
        <f>IF(DAY(JunSun1)=1,JunSun1+8,JunSun1+15)</f>
        <v>43996</v>
      </c>
      <c r="D6" s="5">
        <f>IF(DAY(JunSun1)=1,JunSun1+9,JunSun1+16)</f>
        <v>43997</v>
      </c>
      <c r="E6" s="5">
        <f>IF(DAY(JunSun1)=1,JunSun1+10,JunSun1+17)</f>
        <v>43998</v>
      </c>
      <c r="F6" s="5">
        <f>IF(DAY(JunSun1)=1,JunSun1+11,JunSun1+18)</f>
        <v>43999</v>
      </c>
      <c r="G6" s="5">
        <f>IF(DAY(JunSun1)=1,JunSun1+12,JunSun1+19)</f>
        <v>44000</v>
      </c>
      <c r="H6" s="5">
        <f>IF(DAY(JunSun1)=1,JunSun1+13,JunSun1+20)</f>
        <v>44001</v>
      </c>
      <c r="I6" s="5">
        <f>IF(DAY(JunSun1)=1,JunSun1+14,JunSun1+21)</f>
        <v>44002</v>
      </c>
      <c r="J6" s="4"/>
      <c r="K6" s="5"/>
      <c r="L6" s="4"/>
      <c r="M6" s="201"/>
      <c r="N6" s="9"/>
      <c r="O6" s="159"/>
      <c r="P6" s="160"/>
    </row>
    <row r="7" spans="1:16" ht="18" customHeight="1">
      <c r="A7" s="3"/>
      <c r="B7" s="20"/>
      <c r="C7" s="5">
        <f>IF(DAY(JunSun1)=1,JunSun1+15,JunSun1+22)</f>
        <v>44003</v>
      </c>
      <c r="D7" s="5">
        <f>IF(DAY(JunSun1)=1,JunSun1+16,JunSun1+23)</f>
        <v>44004</v>
      </c>
      <c r="E7" s="5">
        <f>IF(DAY(JunSun1)=1,JunSun1+17,JunSun1+24)</f>
        <v>44005</v>
      </c>
      <c r="F7" s="5">
        <f>IF(DAY(JunSun1)=1,JunSun1+18,JunSun1+25)</f>
        <v>44006</v>
      </c>
      <c r="G7" s="5">
        <f>IF(DAY(JunSun1)=1,JunSun1+19,JunSun1+26)</f>
        <v>44007</v>
      </c>
      <c r="H7" s="5">
        <f>IF(DAY(JunSun1)=1,JunSun1+20,JunSun1+27)</f>
        <v>44008</v>
      </c>
      <c r="I7" s="5">
        <f>IF(DAY(JunSun1)=1,JunSun1+21,JunSun1+28)</f>
        <v>44009</v>
      </c>
      <c r="J7" s="4"/>
      <c r="K7" s="5"/>
      <c r="L7" s="4"/>
      <c r="M7" s="107"/>
      <c r="N7" s="9"/>
      <c r="O7" s="159"/>
      <c r="P7" s="160"/>
    </row>
    <row r="8" spans="1:16" ht="18.75" customHeight="1">
      <c r="A8" s="3"/>
      <c r="B8" s="20"/>
      <c r="C8" s="5">
        <f>IF(DAY(JunSun1)=1,JunSun1+22,JunSun1+29)</f>
        <v>44010</v>
      </c>
      <c r="D8" s="5">
        <f>IF(DAY(JunSun1)=1,JunSun1+23,JunSun1+30)</f>
        <v>44011</v>
      </c>
      <c r="E8" s="5">
        <f>IF(DAY(JunSun1)=1,JunSun1+24,JunSun1+31)</f>
        <v>44012</v>
      </c>
      <c r="F8" s="5">
        <f>IF(DAY(JunSun1)=1,JunSun1+25,JunSun1+32)</f>
        <v>44013</v>
      </c>
      <c r="G8" s="5">
        <f>IF(DAY(JunSun1)=1,JunSun1+26,JunSun1+33)</f>
        <v>44014</v>
      </c>
      <c r="H8" s="5">
        <f>IF(DAY(JunSun1)=1,JunSun1+27,JunSun1+34)</f>
        <v>44015</v>
      </c>
      <c r="I8" s="5">
        <f>IF(DAY(JunSun1)=1,JunSun1+28,JunSun1+35)</f>
        <v>44016</v>
      </c>
      <c r="J8" s="4"/>
      <c r="K8" s="5"/>
      <c r="L8" s="4"/>
      <c r="M8" s="107"/>
      <c r="N8" s="9"/>
      <c r="O8" s="159"/>
      <c r="P8" s="160"/>
    </row>
    <row r="9" spans="1:16" ht="18" customHeight="1">
      <c r="A9" s="3"/>
      <c r="B9" s="20"/>
      <c r="C9" s="5">
        <f>IF(DAY(JunSun1)=1,JunSun1+29,JunSun1+36)</f>
        <v>44017</v>
      </c>
      <c r="D9" s="5">
        <f>IF(DAY(JunSun1)=1,JunSun1+30,JunSun1+37)</f>
        <v>44018</v>
      </c>
      <c r="E9" s="5">
        <f>IF(DAY(JunSun1)=1,JunSun1+31,JunSun1+38)</f>
        <v>44019</v>
      </c>
      <c r="F9" s="5">
        <f>IF(DAY(JunSun1)=1,JunSun1+32,JunSun1+39)</f>
        <v>44020</v>
      </c>
      <c r="G9" s="5">
        <f>IF(DAY(JunSun1)=1,JunSun1+33,JunSun1+40)</f>
        <v>44021</v>
      </c>
      <c r="H9" s="5">
        <f>IF(DAY(JunSun1)=1,JunSun1+34,JunSun1+41)</f>
        <v>44022</v>
      </c>
      <c r="I9" s="5">
        <f>IF(DAY(JunSun1)=1,JunSun1+35,JunSun1+42)</f>
        <v>44023</v>
      </c>
      <c r="J9" s="4"/>
      <c r="K9" s="5"/>
      <c r="L9" s="4"/>
      <c r="M9" s="108"/>
      <c r="N9" s="10"/>
      <c r="O9" s="161"/>
      <c r="P9" s="162"/>
    </row>
    <row r="10" spans="1:16" ht="18" customHeight="1">
      <c r="A10" s="3"/>
      <c r="B10" s="21"/>
      <c r="C10" s="15"/>
      <c r="D10" s="15"/>
      <c r="E10" s="15"/>
      <c r="F10" s="15"/>
      <c r="G10" s="15"/>
      <c r="H10" s="15"/>
      <c r="I10" s="15"/>
      <c r="J10" s="16"/>
      <c r="K10" s="15"/>
      <c r="L10" s="16"/>
      <c r="M10" s="200" t="s">
        <v>28</v>
      </c>
      <c r="N10" s="8"/>
      <c r="O10" s="172"/>
      <c r="P10" s="173"/>
    </row>
    <row r="11" spans="1:16" ht="18" customHeight="1">
      <c r="A11" s="3"/>
      <c r="B11" s="204" t="s">
        <v>8</v>
      </c>
      <c r="C11" s="205"/>
      <c r="D11" s="205"/>
      <c r="E11" s="205"/>
      <c r="F11" s="205"/>
      <c r="G11" s="205"/>
      <c r="H11" s="205"/>
      <c r="I11" s="205"/>
      <c r="J11" s="206"/>
      <c r="K11" s="23"/>
      <c r="L11" s="23"/>
      <c r="M11" s="201"/>
      <c r="N11" s="9"/>
      <c r="O11" s="159"/>
      <c r="P11" s="160"/>
    </row>
    <row r="12" spans="1:16" ht="18" customHeight="1">
      <c r="A12" s="3"/>
      <c r="B12" s="204"/>
      <c r="C12" s="205"/>
      <c r="D12" s="205"/>
      <c r="E12" s="205"/>
      <c r="F12" s="205"/>
      <c r="G12" s="205"/>
      <c r="H12" s="205"/>
      <c r="I12" s="205"/>
      <c r="J12" s="206"/>
      <c r="K12" s="23"/>
      <c r="L12" s="23"/>
      <c r="M12" s="201"/>
      <c r="N12" s="9"/>
      <c r="O12" s="159"/>
      <c r="P12" s="160"/>
    </row>
    <row r="13" spans="1:16" ht="18" customHeight="1">
      <c r="B13" s="111" t="s">
        <v>25</v>
      </c>
      <c r="C13" s="207" t="s">
        <v>6</v>
      </c>
      <c r="D13" s="208"/>
      <c r="E13" s="207" t="s">
        <v>7</v>
      </c>
      <c r="F13" s="208"/>
      <c r="G13" s="207" t="s">
        <v>9</v>
      </c>
      <c r="H13" s="208"/>
      <c r="I13" s="207" t="s">
        <v>10</v>
      </c>
      <c r="J13" s="208"/>
      <c r="K13" s="112" t="s">
        <v>11</v>
      </c>
      <c r="L13" s="112" t="s">
        <v>24</v>
      </c>
      <c r="M13" s="107"/>
      <c r="N13" s="9"/>
      <c r="O13" s="159"/>
      <c r="P13" s="160"/>
    </row>
    <row r="14" spans="1:16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107"/>
      <c r="N14" s="9"/>
      <c r="O14" s="159"/>
      <c r="P14" s="160"/>
    </row>
    <row r="15" spans="1:16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109"/>
      <c r="N15" s="11"/>
      <c r="O15" s="161"/>
      <c r="P15" s="162"/>
    </row>
    <row r="16" spans="1:16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200" t="s">
        <v>29</v>
      </c>
      <c r="N16" s="8"/>
      <c r="O16" s="172"/>
      <c r="P16" s="173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201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201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107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107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109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200" t="s">
        <v>30</v>
      </c>
      <c r="N22" s="8"/>
      <c r="O22" s="172"/>
      <c r="P22" s="173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201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201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201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107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109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200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201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201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6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</sheetData>
  <mergeCells count="118">
    <mergeCell ref="M10:M12"/>
    <mergeCell ref="P2:P3"/>
    <mergeCell ref="O10:P10"/>
    <mergeCell ref="B11:J12"/>
    <mergeCell ref="O11:P11"/>
    <mergeCell ref="O12:P12"/>
    <mergeCell ref="C13:D13"/>
    <mergeCell ref="E13:F13"/>
    <mergeCell ref="G13:H13"/>
    <mergeCell ref="I13:J13"/>
    <mergeCell ref="O13:P13"/>
    <mergeCell ref="B3:B4"/>
    <mergeCell ref="M2:O3"/>
    <mergeCell ref="M4:M6"/>
    <mergeCell ref="O4:P4"/>
    <mergeCell ref="O5:P5"/>
    <mergeCell ref="O6:P6"/>
    <mergeCell ref="O7:P7"/>
    <mergeCell ref="O8:P8"/>
    <mergeCell ref="O9:P9"/>
    <mergeCell ref="C14:D14"/>
    <mergeCell ref="E14:F14"/>
    <mergeCell ref="G14:H14"/>
    <mergeCell ref="O14:P14"/>
    <mergeCell ref="C15:D15"/>
    <mergeCell ref="E15:F15"/>
    <mergeCell ref="G15:H15"/>
    <mergeCell ref="O15:P15"/>
    <mergeCell ref="I14:J15"/>
    <mergeCell ref="I18:J18"/>
    <mergeCell ref="I19:J19"/>
    <mergeCell ref="O17:P17"/>
    <mergeCell ref="C18:D18"/>
    <mergeCell ref="E18:F18"/>
    <mergeCell ref="G18:H18"/>
    <mergeCell ref="O18:P18"/>
    <mergeCell ref="C16:D16"/>
    <mergeCell ref="E16:F16"/>
    <mergeCell ref="G16:H16"/>
    <mergeCell ref="M16:M18"/>
    <mergeCell ref="O16:P16"/>
    <mergeCell ref="C17:D17"/>
    <mergeCell ref="E17:F17"/>
    <mergeCell ref="G17:H17"/>
    <mergeCell ref="I16:J17"/>
    <mergeCell ref="C19:D19"/>
    <mergeCell ref="E19:F19"/>
    <mergeCell ref="G19:H19"/>
    <mergeCell ref="O19:P19"/>
    <mergeCell ref="C20:D20"/>
    <mergeCell ref="E20:F20"/>
    <mergeCell ref="G20:H20"/>
    <mergeCell ref="O20:P20"/>
    <mergeCell ref="I20:J21"/>
    <mergeCell ref="O22:P22"/>
    <mergeCell ref="C23:D23"/>
    <mergeCell ref="E23:F23"/>
    <mergeCell ref="G23:H23"/>
    <mergeCell ref="O23:P23"/>
    <mergeCell ref="C21:D21"/>
    <mergeCell ref="E21:F21"/>
    <mergeCell ref="G21:H21"/>
    <mergeCell ref="O21:P21"/>
    <mergeCell ref="C22:D22"/>
    <mergeCell ref="E22:F22"/>
    <mergeCell ref="G22:H22"/>
    <mergeCell ref="M22:M25"/>
    <mergeCell ref="C24:D24"/>
    <mergeCell ref="E24:F24"/>
    <mergeCell ref="G24:H24"/>
    <mergeCell ref="O24:P24"/>
    <mergeCell ref="C25:D25"/>
    <mergeCell ref="E25:F25"/>
    <mergeCell ref="G25:H25"/>
    <mergeCell ref="O25:P25"/>
    <mergeCell ref="I24:J25"/>
    <mergeCell ref="I22:J22"/>
    <mergeCell ref="E28:F28"/>
    <mergeCell ref="G28:H28"/>
    <mergeCell ref="M28:M30"/>
    <mergeCell ref="O28:P28"/>
    <mergeCell ref="C29:D29"/>
    <mergeCell ref="E29:F29"/>
    <mergeCell ref="G29:H29"/>
    <mergeCell ref="I28:J29"/>
    <mergeCell ref="C26:D26"/>
    <mergeCell ref="E26:F26"/>
    <mergeCell ref="G26:H26"/>
    <mergeCell ref="O26:P26"/>
    <mergeCell ref="C27:D27"/>
    <mergeCell ref="E27:F27"/>
    <mergeCell ref="G27:H27"/>
    <mergeCell ref="O27:P27"/>
    <mergeCell ref="O29:P29"/>
    <mergeCell ref="I23:J23"/>
    <mergeCell ref="I26:J26"/>
    <mergeCell ref="I27:J27"/>
    <mergeCell ref="C28:D28"/>
    <mergeCell ref="I30:J30"/>
    <mergeCell ref="I31:J31"/>
    <mergeCell ref="I32:J32"/>
    <mergeCell ref="I33:J33"/>
    <mergeCell ref="O33:P33"/>
    <mergeCell ref="C31:D31"/>
    <mergeCell ref="E31:F31"/>
    <mergeCell ref="G31:H31"/>
    <mergeCell ref="O31:P31"/>
    <mergeCell ref="C32:D32"/>
    <mergeCell ref="E32:F32"/>
    <mergeCell ref="G32:H32"/>
    <mergeCell ref="O32:P32"/>
    <mergeCell ref="C33:D33"/>
    <mergeCell ref="E33:F33"/>
    <mergeCell ref="G33:H33"/>
    <mergeCell ref="C30:D30"/>
    <mergeCell ref="E30:F30"/>
    <mergeCell ref="G30:H30"/>
    <mergeCell ref="O30:P30"/>
  </mergeCells>
  <conditionalFormatting sqref="C4:H4">
    <cfRule type="expression" dxfId="111" priority="21" stopIfTrue="1">
      <formula>DAY(C4)&gt;8</formula>
    </cfRule>
  </conditionalFormatting>
  <conditionalFormatting sqref="C8:I10">
    <cfRule type="expression" dxfId="110" priority="20" stopIfTrue="1">
      <formula>AND(DAY(C8)&gt;=1,DAY(C8)&lt;=15)</formula>
    </cfRule>
  </conditionalFormatting>
  <conditionalFormatting sqref="C4:I9">
    <cfRule type="expression" dxfId="109" priority="22">
      <formula>VLOOKUP(DAY(C4),AssignmentDays,1,FALSE)=DAY(C4)</formula>
    </cfRule>
  </conditionalFormatting>
  <conditionalFormatting sqref="B14:I14 B15:C15 B16:I16 B17:H19 B22:H23 B26:H27 B30:H33 K14:L19 E15:H15 K22:L23 K26:L27 K30:L33">
    <cfRule type="expression" dxfId="108" priority="11">
      <formula>B14&lt;&gt;""</formula>
    </cfRule>
  </conditionalFormatting>
  <conditionalFormatting sqref="B20:I20 B21:H21 K20:L21">
    <cfRule type="expression" dxfId="107" priority="10">
      <formula>B20&lt;&gt;""</formula>
    </cfRule>
  </conditionalFormatting>
  <conditionalFormatting sqref="B24:H25 K24:L25">
    <cfRule type="expression" dxfId="106" priority="9">
      <formula>B24&lt;&gt;""</formula>
    </cfRule>
  </conditionalFormatting>
  <conditionalFormatting sqref="B28:H29 K28:L29">
    <cfRule type="expression" dxfId="105" priority="8">
      <formula>B28&lt;&gt;""</formula>
    </cfRule>
  </conditionalFormatting>
  <conditionalFormatting sqref="I18:J19">
    <cfRule type="expression" dxfId="104" priority="7">
      <formula>I18&lt;&gt;""</formula>
    </cfRule>
  </conditionalFormatting>
  <conditionalFormatting sqref="I22:J23">
    <cfRule type="expression" dxfId="103" priority="6">
      <formula>I22&lt;&gt;""</formula>
    </cfRule>
  </conditionalFormatting>
  <conditionalFormatting sqref="I24">
    <cfRule type="expression" dxfId="102" priority="5">
      <formula>I24&lt;&gt;""</formula>
    </cfRule>
  </conditionalFormatting>
  <conditionalFormatting sqref="I28">
    <cfRule type="expression" dxfId="101" priority="4">
      <formula>I28&lt;&gt;""</formula>
    </cfRule>
  </conditionalFormatting>
  <conditionalFormatting sqref="I26:J27">
    <cfRule type="expression" dxfId="100" priority="3">
      <formula>I26&lt;&gt;""</formula>
    </cfRule>
  </conditionalFormatting>
  <conditionalFormatting sqref="I30:J31">
    <cfRule type="expression" dxfId="99" priority="2">
      <formula>I30&lt;&gt;""</formula>
    </cfRule>
  </conditionalFormatting>
  <conditionalFormatting sqref="I32:J33">
    <cfRule type="expression" dxfId="98" priority="1">
      <formula>I32&lt;&gt;""</formula>
    </cfRule>
  </conditionalFormatting>
  <printOptions horizontalCentered="1" verticalCentered="1"/>
  <pageMargins left="0.5" right="0.5" top="0.5" bottom="0.5" header="0.3" footer="0.3"/>
  <pageSetup scale="91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F0ECB59D-7863-2A4A-B15D-0DCDC23CE529}">
            <xm:f>AND(DAY(Jan!K8)&gt;=1,DAY(Jan!K8)&lt;=15)</xm:f>
            <x14:dxf>
              <font>
                <color theme="0" tint="-0.24994659260841701"/>
              </font>
            </x14:dxf>
          </x14:cfRule>
          <xm:sqref>K8:K10</xm:sqref>
        </x14:conditionalFormatting>
        <x14:conditionalFormatting xmlns:xm="http://schemas.microsoft.com/office/excel/2006/main">
          <x14:cfRule type="expression" priority="18" id="{F25730C6-87FB-9544-B308-CDAB762958D8}">
            <xm:f>VLOOKUP(DAY(Jan!K4),AssignmentDays,1,FALSE)=DAY(Jan!K4)</xm:f>
            <x14:dxf>
              <font>
                <b/>
                <i val="0"/>
                <color theme="1"/>
              </font>
              <fill>
                <patternFill patternType="solid"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K4:K9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82C755"/>
  </sheetPr>
  <dimension ref="A1:B22"/>
  <sheetViews>
    <sheetView zoomScale="130" zoomScaleNormal="130" zoomScalePageLayoutView="130" workbookViewId="0">
      <selection sqref="A1:B2"/>
    </sheetView>
  </sheetViews>
  <sheetFormatPr defaultColWidth="11.42578125" defaultRowHeight="15"/>
  <cols>
    <col min="1" max="1" width="20.140625" style="132" bestFit="1" customWidth="1"/>
    <col min="2" max="2" width="21.85546875" customWidth="1"/>
  </cols>
  <sheetData>
    <row r="1" spans="1:2" ht="21" customHeight="1">
      <c r="A1" s="215" t="s">
        <v>86</v>
      </c>
      <c r="B1" s="215"/>
    </row>
    <row r="2" spans="1:2" ht="21" customHeight="1">
      <c r="A2" s="215"/>
      <c r="B2" s="215"/>
    </row>
    <row r="3" spans="1:2" ht="15.75">
      <c r="A3" s="129" t="s">
        <v>69</v>
      </c>
    </row>
    <row r="4" spans="1:2" ht="15.75">
      <c r="A4" s="130" t="s">
        <v>75</v>
      </c>
    </row>
    <row r="5" spans="1:2" ht="15.75">
      <c r="A5" s="130" t="s">
        <v>76</v>
      </c>
    </row>
    <row r="6" spans="1:2" ht="15.75">
      <c r="A6" s="130" t="s">
        <v>77</v>
      </c>
    </row>
    <row r="7" spans="1:2" ht="15.75">
      <c r="A7" s="131"/>
    </row>
    <row r="8" spans="1:2" ht="15.75">
      <c r="A8" s="129" t="s">
        <v>70</v>
      </c>
    </row>
    <row r="9" spans="1:2" ht="15.75">
      <c r="A9" s="130" t="s">
        <v>78</v>
      </c>
    </row>
    <row r="10" spans="1:2" ht="15.75">
      <c r="A10" s="130" t="s">
        <v>76</v>
      </c>
    </row>
    <row r="11" spans="1:2" ht="15.75">
      <c r="A11" s="130" t="s">
        <v>77</v>
      </c>
    </row>
    <row r="12" spans="1:2" ht="15.75">
      <c r="A12" s="131"/>
    </row>
    <row r="13" spans="1:2" ht="15.75">
      <c r="A13" s="129" t="s">
        <v>71</v>
      </c>
    </row>
    <row r="14" spans="1:2" ht="15.75">
      <c r="A14" s="130" t="s">
        <v>79</v>
      </c>
    </row>
    <row r="15" spans="1:2" ht="15.75">
      <c r="A15" s="130" t="s">
        <v>80</v>
      </c>
    </row>
    <row r="16" spans="1:2" ht="15.75">
      <c r="A16" s="130" t="s">
        <v>81</v>
      </c>
    </row>
    <row r="17" spans="1:1" ht="15.75">
      <c r="A17" s="131"/>
    </row>
    <row r="18" spans="1:1" ht="15.75">
      <c r="A18" s="129" t="s">
        <v>72</v>
      </c>
    </row>
    <row r="19" spans="1:1" ht="15.75">
      <c r="A19" s="129"/>
    </row>
    <row r="20" spans="1:1" ht="15.75">
      <c r="A20" s="129" t="s">
        <v>73</v>
      </c>
    </row>
    <row r="21" spans="1:1" ht="15.75">
      <c r="A21" s="129"/>
    </row>
    <row r="22" spans="1:1" ht="15.75">
      <c r="A22" s="129" t="s">
        <v>74</v>
      </c>
    </row>
  </sheetData>
  <mergeCells count="1">
    <mergeCell ref="A1:B2"/>
  </mergeCells>
  <pageMargins left="0.7" right="0.7" top="0.75" bottom="0.75" header="0.3" footer="0.3"/>
  <pageSetup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82C755"/>
    <pageSetUpPr fitToPage="1"/>
  </sheetPr>
  <dimension ref="A1:P33"/>
  <sheetViews>
    <sheetView showGridLines="0" workbookViewId="0">
      <selection activeCell="B11" sqref="B11:L13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1.14062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style="1" customWidth="1"/>
    <col min="18" max="16384" width="8.7109375" style="1"/>
  </cols>
  <sheetData>
    <row r="1" spans="1:16" ht="11.25" customHeight="1"/>
    <row r="2" spans="1:16" ht="18" customHeight="1">
      <c r="A2" s="3"/>
      <c r="B2" s="22"/>
      <c r="C2" s="13"/>
      <c r="D2" s="13"/>
      <c r="E2" s="13"/>
      <c r="F2" s="13"/>
      <c r="G2" s="13"/>
      <c r="H2" s="13"/>
      <c r="I2" s="13"/>
      <c r="J2" s="14"/>
      <c r="K2" s="13"/>
      <c r="L2" s="14"/>
      <c r="M2" s="226" t="s">
        <v>23</v>
      </c>
      <c r="N2" s="227">
        <v>2013</v>
      </c>
      <c r="O2" s="227"/>
      <c r="P2" s="218">
        <f>CalendarYear</f>
        <v>2020</v>
      </c>
    </row>
    <row r="3" spans="1:16" ht="21" customHeight="1">
      <c r="A3" s="3"/>
      <c r="B3" s="225" t="s">
        <v>17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4"/>
      <c r="K3" s="2"/>
      <c r="L3" s="4"/>
      <c r="M3" s="228"/>
      <c r="N3" s="229"/>
      <c r="O3" s="229"/>
      <c r="P3" s="219"/>
    </row>
    <row r="4" spans="1:16" ht="18" customHeight="1">
      <c r="A4" s="3"/>
      <c r="B4" s="225"/>
      <c r="C4" s="5">
        <f>IF(DAY(JulSun1)=1,JulSun1-6,JulSun1+1)</f>
        <v>44010</v>
      </c>
      <c r="D4" s="5">
        <f>IF(DAY(JulSun1)=1,JulSun1-5,JulSun1+2)</f>
        <v>44011</v>
      </c>
      <c r="E4" s="5">
        <f>IF(DAY(JulSun1)=1,JulSun1-4,JulSun1+3)</f>
        <v>44012</v>
      </c>
      <c r="F4" s="5">
        <f>IF(DAY(JulSun1)=1,JulSun1-3,JulSun1+4)</f>
        <v>44013</v>
      </c>
      <c r="G4" s="5">
        <f>IF(DAY(JulSun1)=1,JulSun1-2,JulSun1+5)</f>
        <v>44014</v>
      </c>
      <c r="H4" s="5">
        <f>IF(DAY(JulSun1)=1,JulSun1-1,JulSun1+6)</f>
        <v>44015</v>
      </c>
      <c r="I4" s="5">
        <f>IF(DAY(JulSun1)=1,JulSun1,JulSun1+7)</f>
        <v>44016</v>
      </c>
      <c r="J4" s="4"/>
      <c r="K4" s="5"/>
      <c r="L4" s="4"/>
      <c r="M4" s="230" t="s">
        <v>26</v>
      </c>
      <c r="N4" s="8"/>
      <c r="O4" s="197"/>
      <c r="P4" s="198"/>
    </row>
    <row r="5" spans="1:16" ht="18" customHeight="1">
      <c r="A5" s="3"/>
      <c r="B5" s="20"/>
      <c r="C5" s="5">
        <f>IF(DAY(JulSun1)=1,JulSun1+1,JulSun1+8)</f>
        <v>44017</v>
      </c>
      <c r="D5" s="5">
        <f>IF(DAY(JulSun1)=1,JulSun1+2,JulSun1+9)</f>
        <v>44018</v>
      </c>
      <c r="E5" s="5">
        <f>IF(DAY(JulSun1)=1,JulSun1+3,JulSun1+10)</f>
        <v>44019</v>
      </c>
      <c r="F5" s="5">
        <f>IF(DAY(JulSun1)=1,JulSun1+4,JulSun1+11)</f>
        <v>44020</v>
      </c>
      <c r="G5" s="5">
        <f>IF(DAY(JulSun1)=1,JulSun1+5,JulSun1+12)</f>
        <v>44021</v>
      </c>
      <c r="H5" s="5">
        <f>IF(DAY(JulSun1)=1,JulSun1+6,JulSun1+13)</f>
        <v>44022</v>
      </c>
      <c r="I5" s="5">
        <f>IF(DAY(JulSun1)=1,JulSun1+7,JulSun1+14)</f>
        <v>44023</v>
      </c>
      <c r="J5" s="4"/>
      <c r="K5" s="5"/>
      <c r="L5" s="4"/>
      <c r="M5" s="217"/>
      <c r="N5" s="9"/>
      <c r="O5" s="159"/>
      <c r="P5" s="160"/>
    </row>
    <row r="6" spans="1:16" ht="18" customHeight="1">
      <c r="A6" s="3"/>
      <c r="B6" s="20"/>
      <c r="C6" s="5">
        <f>IF(DAY(JulSun1)=1,JulSun1+8,JulSun1+15)</f>
        <v>44024</v>
      </c>
      <c r="D6" s="5">
        <f>IF(DAY(JulSun1)=1,JulSun1+9,JulSun1+16)</f>
        <v>44025</v>
      </c>
      <c r="E6" s="5">
        <f>IF(DAY(JulSun1)=1,JulSun1+10,JulSun1+17)</f>
        <v>44026</v>
      </c>
      <c r="F6" s="5">
        <f>IF(DAY(JulSun1)=1,JulSun1+11,JulSun1+18)</f>
        <v>44027</v>
      </c>
      <c r="G6" s="5">
        <f>IF(DAY(JulSun1)=1,JulSun1+12,JulSun1+19)</f>
        <v>44028</v>
      </c>
      <c r="H6" s="5">
        <f>IF(DAY(JulSun1)=1,JulSun1+13,JulSun1+20)</f>
        <v>44029</v>
      </c>
      <c r="I6" s="5">
        <f>IF(DAY(JulSun1)=1,JulSun1+14,JulSun1+21)</f>
        <v>44030</v>
      </c>
      <c r="J6" s="4"/>
      <c r="K6" s="5"/>
      <c r="L6" s="4"/>
      <c r="M6" s="217"/>
      <c r="N6" s="9"/>
      <c r="O6" s="159"/>
      <c r="P6" s="160"/>
    </row>
    <row r="7" spans="1:16" ht="18" customHeight="1">
      <c r="A7" s="3"/>
      <c r="B7" s="20"/>
      <c r="C7" s="5">
        <f>IF(DAY(JulSun1)=1,JulSun1+15,JulSun1+22)</f>
        <v>44031</v>
      </c>
      <c r="D7" s="5">
        <f>IF(DAY(JulSun1)=1,JulSun1+16,JulSun1+23)</f>
        <v>44032</v>
      </c>
      <c r="E7" s="5">
        <f>IF(DAY(JulSun1)=1,JulSun1+17,JulSun1+24)</f>
        <v>44033</v>
      </c>
      <c r="F7" s="5">
        <f>IF(DAY(JulSun1)=1,JulSun1+18,JulSun1+25)</f>
        <v>44034</v>
      </c>
      <c r="G7" s="5">
        <f>IF(DAY(JulSun1)=1,JulSun1+19,JulSun1+26)</f>
        <v>44035</v>
      </c>
      <c r="H7" s="5">
        <f>IF(DAY(JulSun1)=1,JulSun1+20,JulSun1+27)</f>
        <v>44036</v>
      </c>
      <c r="I7" s="5">
        <f>IF(DAY(JulSun1)=1,JulSun1+21,JulSun1+28)</f>
        <v>44037</v>
      </c>
      <c r="J7" s="4"/>
      <c r="K7" s="5"/>
      <c r="L7" s="4"/>
      <c r="M7" s="115"/>
      <c r="N7" s="9"/>
      <c r="O7" s="159"/>
      <c r="P7" s="160"/>
    </row>
    <row r="8" spans="1:16" ht="18.75" customHeight="1">
      <c r="A8" s="3"/>
      <c r="B8" s="20"/>
      <c r="C8" s="5">
        <f>IF(DAY(JulSun1)=1,JulSun1+22,JulSun1+29)</f>
        <v>44038</v>
      </c>
      <c r="D8" s="5">
        <f>IF(DAY(JulSun1)=1,JulSun1+23,JulSun1+30)</f>
        <v>44039</v>
      </c>
      <c r="E8" s="5">
        <f>IF(DAY(JulSun1)=1,JulSun1+24,JulSun1+31)</f>
        <v>44040</v>
      </c>
      <c r="F8" s="5">
        <f>IF(DAY(JulSun1)=1,JulSun1+25,JulSun1+32)</f>
        <v>44041</v>
      </c>
      <c r="G8" s="5">
        <f>IF(DAY(JulSun1)=1,JulSun1+26,JulSun1+33)</f>
        <v>44042</v>
      </c>
      <c r="H8" s="5">
        <f>IF(DAY(JulSun1)=1,JulSun1+27,JulSun1+34)</f>
        <v>44043</v>
      </c>
      <c r="I8" s="5">
        <f>IF(DAY(JulSun1)=1,JulSun1+28,JulSun1+35)</f>
        <v>44044</v>
      </c>
      <c r="J8" s="4"/>
      <c r="K8" s="5"/>
      <c r="L8" s="4"/>
      <c r="M8" s="115"/>
      <c r="N8" s="9"/>
      <c r="O8" s="159"/>
      <c r="P8" s="160"/>
    </row>
    <row r="9" spans="1:16" ht="18" customHeight="1">
      <c r="A9" s="3"/>
      <c r="B9" s="20"/>
      <c r="C9" s="5">
        <f>IF(DAY(JulSun1)=1,JulSun1+29,JulSun1+36)</f>
        <v>44045</v>
      </c>
      <c r="D9" s="5">
        <f>IF(DAY(JulSun1)=1,JulSun1+30,JulSun1+37)</f>
        <v>44046</v>
      </c>
      <c r="E9" s="5">
        <f>IF(DAY(JulSun1)=1,JulSun1+31,JulSun1+38)</f>
        <v>44047</v>
      </c>
      <c r="F9" s="5">
        <f>IF(DAY(JulSun1)=1,JulSun1+32,JulSun1+39)</f>
        <v>44048</v>
      </c>
      <c r="G9" s="5">
        <f>IF(DAY(JulSun1)=1,JulSun1+33,JulSun1+40)</f>
        <v>44049</v>
      </c>
      <c r="H9" s="5">
        <f>IF(DAY(JulSun1)=1,JulSun1+34,JulSun1+41)</f>
        <v>44050</v>
      </c>
      <c r="I9" s="5">
        <f>IF(DAY(JulSun1)=1,JulSun1+35,JulSun1+42)</f>
        <v>44051</v>
      </c>
      <c r="J9" s="4"/>
      <c r="K9" s="5"/>
      <c r="L9" s="4"/>
      <c r="M9" s="116"/>
      <c r="N9" s="10"/>
      <c r="O9" s="161"/>
      <c r="P9" s="162"/>
    </row>
    <row r="10" spans="1:16" ht="18" customHeight="1">
      <c r="A10" s="3"/>
      <c r="B10" s="21"/>
      <c r="C10" s="15"/>
      <c r="D10" s="15"/>
      <c r="E10" s="15"/>
      <c r="F10" s="15"/>
      <c r="G10" s="15"/>
      <c r="H10" s="15"/>
      <c r="I10" s="15"/>
      <c r="J10" s="16"/>
      <c r="K10" s="15"/>
      <c r="L10" s="16"/>
      <c r="M10" s="216" t="s">
        <v>28</v>
      </c>
      <c r="N10" s="8"/>
      <c r="O10" s="172"/>
      <c r="P10" s="173"/>
    </row>
    <row r="11" spans="1:16" ht="18" customHeight="1">
      <c r="A11" s="3"/>
      <c r="B11" s="220" t="s">
        <v>8</v>
      </c>
      <c r="C11" s="221"/>
      <c r="D11" s="221"/>
      <c r="E11" s="221"/>
      <c r="F11" s="221"/>
      <c r="G11" s="221"/>
      <c r="H11" s="221"/>
      <c r="I11" s="221"/>
      <c r="J11" s="222"/>
      <c r="K11" s="23"/>
      <c r="L11" s="23"/>
      <c r="M11" s="217"/>
      <c r="N11" s="9"/>
      <c r="O11" s="159"/>
      <c r="P11" s="160"/>
    </row>
    <row r="12" spans="1:16" ht="18" customHeight="1">
      <c r="A12" s="3"/>
      <c r="B12" s="220"/>
      <c r="C12" s="221"/>
      <c r="D12" s="221"/>
      <c r="E12" s="221"/>
      <c r="F12" s="221"/>
      <c r="G12" s="221"/>
      <c r="H12" s="221"/>
      <c r="I12" s="221"/>
      <c r="J12" s="222"/>
      <c r="K12" s="23"/>
      <c r="L12" s="23"/>
      <c r="M12" s="217"/>
      <c r="N12" s="9"/>
      <c r="O12" s="159"/>
      <c r="P12" s="160"/>
    </row>
    <row r="13" spans="1:16" ht="18" customHeight="1">
      <c r="B13" s="113" t="s">
        <v>25</v>
      </c>
      <c r="C13" s="223" t="s">
        <v>6</v>
      </c>
      <c r="D13" s="224"/>
      <c r="E13" s="223" t="s">
        <v>7</v>
      </c>
      <c r="F13" s="224"/>
      <c r="G13" s="223" t="s">
        <v>9</v>
      </c>
      <c r="H13" s="224"/>
      <c r="I13" s="223" t="s">
        <v>10</v>
      </c>
      <c r="J13" s="224"/>
      <c r="K13" s="114" t="s">
        <v>11</v>
      </c>
      <c r="L13" s="114" t="s">
        <v>24</v>
      </c>
      <c r="M13" s="115"/>
      <c r="N13" s="9"/>
      <c r="O13" s="159"/>
      <c r="P13" s="160"/>
    </row>
    <row r="14" spans="1:16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115"/>
      <c r="N14" s="9"/>
      <c r="O14" s="159"/>
      <c r="P14" s="160"/>
    </row>
    <row r="15" spans="1:16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117"/>
      <c r="N15" s="11"/>
      <c r="O15" s="161"/>
      <c r="P15" s="162"/>
    </row>
    <row r="16" spans="1:16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216" t="s">
        <v>29</v>
      </c>
      <c r="N16" s="8"/>
      <c r="O16" s="172"/>
      <c r="P16" s="173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217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217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115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115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117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216" t="s">
        <v>30</v>
      </c>
      <c r="N22" s="8"/>
      <c r="O22" s="172"/>
      <c r="P22" s="173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217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217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217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115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117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216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217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217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6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</sheetData>
  <mergeCells count="118">
    <mergeCell ref="M10:M12"/>
    <mergeCell ref="P2:P3"/>
    <mergeCell ref="O10:P10"/>
    <mergeCell ref="B11:J12"/>
    <mergeCell ref="O11:P11"/>
    <mergeCell ref="O12:P12"/>
    <mergeCell ref="C13:D13"/>
    <mergeCell ref="E13:F13"/>
    <mergeCell ref="G13:H13"/>
    <mergeCell ref="I13:J13"/>
    <mergeCell ref="O13:P13"/>
    <mergeCell ref="B3:B4"/>
    <mergeCell ref="M2:O3"/>
    <mergeCell ref="M4:M6"/>
    <mergeCell ref="O4:P4"/>
    <mergeCell ref="O5:P5"/>
    <mergeCell ref="O6:P6"/>
    <mergeCell ref="O7:P7"/>
    <mergeCell ref="O8:P8"/>
    <mergeCell ref="O9:P9"/>
    <mergeCell ref="C14:D14"/>
    <mergeCell ref="E14:F14"/>
    <mergeCell ref="G14:H14"/>
    <mergeCell ref="O14:P14"/>
    <mergeCell ref="C15:D15"/>
    <mergeCell ref="E15:F15"/>
    <mergeCell ref="G15:H15"/>
    <mergeCell ref="O15:P15"/>
    <mergeCell ref="I14:J15"/>
    <mergeCell ref="I18:J18"/>
    <mergeCell ref="I19:J19"/>
    <mergeCell ref="O17:P17"/>
    <mergeCell ref="C18:D18"/>
    <mergeCell ref="E18:F18"/>
    <mergeCell ref="G18:H18"/>
    <mergeCell ref="O18:P18"/>
    <mergeCell ref="C16:D16"/>
    <mergeCell ref="E16:F16"/>
    <mergeCell ref="G16:H16"/>
    <mergeCell ref="M16:M18"/>
    <mergeCell ref="O16:P16"/>
    <mergeCell ref="C17:D17"/>
    <mergeCell ref="E17:F17"/>
    <mergeCell ref="G17:H17"/>
    <mergeCell ref="I16:J17"/>
    <mergeCell ref="C19:D19"/>
    <mergeCell ref="E19:F19"/>
    <mergeCell ref="G19:H19"/>
    <mergeCell ref="O19:P19"/>
    <mergeCell ref="C20:D20"/>
    <mergeCell ref="E20:F20"/>
    <mergeCell ref="G20:H20"/>
    <mergeCell ref="O20:P20"/>
    <mergeCell ref="I20:J21"/>
    <mergeCell ref="O22:P22"/>
    <mergeCell ref="C23:D23"/>
    <mergeCell ref="E23:F23"/>
    <mergeCell ref="G23:H23"/>
    <mergeCell ref="O23:P23"/>
    <mergeCell ref="C21:D21"/>
    <mergeCell ref="E21:F21"/>
    <mergeCell ref="G21:H21"/>
    <mergeCell ref="O21:P21"/>
    <mergeCell ref="C22:D22"/>
    <mergeCell ref="E22:F22"/>
    <mergeCell ref="G22:H22"/>
    <mergeCell ref="M22:M25"/>
    <mergeCell ref="C24:D24"/>
    <mergeCell ref="E24:F24"/>
    <mergeCell ref="G24:H24"/>
    <mergeCell ref="O24:P24"/>
    <mergeCell ref="C25:D25"/>
    <mergeCell ref="E25:F25"/>
    <mergeCell ref="G25:H25"/>
    <mergeCell ref="O25:P25"/>
    <mergeCell ref="I24:J25"/>
    <mergeCell ref="I22:J22"/>
    <mergeCell ref="E28:F28"/>
    <mergeCell ref="G28:H28"/>
    <mergeCell ref="M28:M30"/>
    <mergeCell ref="O28:P28"/>
    <mergeCell ref="C29:D29"/>
    <mergeCell ref="E29:F29"/>
    <mergeCell ref="G29:H29"/>
    <mergeCell ref="I28:J29"/>
    <mergeCell ref="C26:D26"/>
    <mergeCell ref="E26:F26"/>
    <mergeCell ref="G26:H26"/>
    <mergeCell ref="O26:P26"/>
    <mergeCell ref="C27:D27"/>
    <mergeCell ref="E27:F27"/>
    <mergeCell ref="G27:H27"/>
    <mergeCell ref="O27:P27"/>
    <mergeCell ref="O29:P29"/>
    <mergeCell ref="I23:J23"/>
    <mergeCell ref="I26:J26"/>
    <mergeCell ref="I27:J27"/>
    <mergeCell ref="C28:D28"/>
    <mergeCell ref="I30:J30"/>
    <mergeCell ref="I31:J31"/>
    <mergeCell ref="I32:J32"/>
    <mergeCell ref="I33:J33"/>
    <mergeCell ref="O33:P33"/>
    <mergeCell ref="C31:D31"/>
    <mergeCell ref="E31:F31"/>
    <mergeCell ref="G31:H31"/>
    <mergeCell ref="O31:P31"/>
    <mergeCell ref="C32:D32"/>
    <mergeCell ref="E32:F32"/>
    <mergeCell ref="G32:H32"/>
    <mergeCell ref="O32:P32"/>
    <mergeCell ref="C33:D33"/>
    <mergeCell ref="E33:F33"/>
    <mergeCell ref="G33:H33"/>
    <mergeCell ref="C30:D30"/>
    <mergeCell ref="E30:F30"/>
    <mergeCell ref="G30:H30"/>
    <mergeCell ref="O30:P30"/>
  </mergeCells>
  <conditionalFormatting sqref="C4:H4">
    <cfRule type="expression" dxfId="95" priority="21" stopIfTrue="1">
      <formula>DAY(C4)&gt;8</formula>
    </cfRule>
  </conditionalFormatting>
  <conditionalFormatting sqref="C8:I10">
    <cfRule type="expression" dxfId="94" priority="20" stopIfTrue="1">
      <formula>AND(DAY(C8)&gt;=1,DAY(C8)&lt;=15)</formula>
    </cfRule>
  </conditionalFormatting>
  <conditionalFormatting sqref="C4:I9">
    <cfRule type="expression" dxfId="93" priority="22">
      <formula>VLOOKUP(DAY(C4),AssignmentDays,1,FALSE)=DAY(C4)</formula>
    </cfRule>
  </conditionalFormatting>
  <conditionalFormatting sqref="B14:I14 B15:C15 B16:I16 B17:H19 B22:H23 B26:H27 B30:H33 K14:L19 E15:H15 K22:L23 K26:L27 K30:L33">
    <cfRule type="expression" dxfId="92" priority="11">
      <formula>B14&lt;&gt;""</formula>
    </cfRule>
  </conditionalFormatting>
  <conditionalFormatting sqref="B20:I20 B21:H21 K20:L21">
    <cfRule type="expression" dxfId="91" priority="10">
      <formula>B20&lt;&gt;""</formula>
    </cfRule>
  </conditionalFormatting>
  <conditionalFormatting sqref="B24:H25 K24:L25">
    <cfRule type="expression" dxfId="90" priority="9">
      <formula>B24&lt;&gt;""</formula>
    </cfRule>
  </conditionalFormatting>
  <conditionalFormatting sqref="B28:H29 K28:L29">
    <cfRule type="expression" dxfId="89" priority="8">
      <formula>B28&lt;&gt;""</formula>
    </cfRule>
  </conditionalFormatting>
  <conditionalFormatting sqref="I18:J19">
    <cfRule type="expression" dxfId="88" priority="7">
      <formula>I18&lt;&gt;""</formula>
    </cfRule>
  </conditionalFormatting>
  <conditionalFormatting sqref="I22:J23">
    <cfRule type="expression" dxfId="87" priority="6">
      <formula>I22&lt;&gt;""</formula>
    </cfRule>
  </conditionalFormatting>
  <conditionalFormatting sqref="I24">
    <cfRule type="expression" dxfId="86" priority="5">
      <formula>I24&lt;&gt;""</formula>
    </cfRule>
  </conditionalFormatting>
  <conditionalFormatting sqref="I28">
    <cfRule type="expression" dxfId="85" priority="4">
      <formula>I28&lt;&gt;""</formula>
    </cfRule>
  </conditionalFormatting>
  <conditionalFormatting sqref="I26:J27">
    <cfRule type="expression" dxfId="84" priority="3">
      <formula>I26&lt;&gt;""</formula>
    </cfRule>
  </conditionalFormatting>
  <conditionalFormatting sqref="I30:J31">
    <cfRule type="expression" dxfId="83" priority="2">
      <formula>I30&lt;&gt;""</formula>
    </cfRule>
  </conditionalFormatting>
  <conditionalFormatting sqref="I32:J33">
    <cfRule type="expression" dxfId="82" priority="1">
      <formula>I32&lt;&gt;""</formula>
    </cfRule>
  </conditionalFormatting>
  <printOptions horizontalCentered="1" verticalCentered="1"/>
  <pageMargins left="0.5" right="0.5" top="0.5" bottom="0.5" header="0.3" footer="0.3"/>
  <pageSetup scale="91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53231A1C-596B-9E45-9D1E-1574F83E2CD1}">
            <xm:f>AND(DAY(Jan!K8)&gt;=1,DAY(Jan!K8)&lt;=15)</xm:f>
            <x14:dxf>
              <font>
                <color theme="0" tint="-0.24994659260841701"/>
              </font>
            </x14:dxf>
          </x14:cfRule>
          <xm:sqref>K8:K10</xm:sqref>
        </x14:conditionalFormatting>
        <x14:conditionalFormatting xmlns:xm="http://schemas.microsoft.com/office/excel/2006/main">
          <x14:cfRule type="expression" priority="18" id="{2C7383BC-C72D-D84C-AD1B-616B98F9E275}">
            <xm:f>VLOOKUP(DAY(Jan!K4),AssignmentDays,1,FALSE)=DAY(Jan!K4)</xm:f>
            <x14:dxf>
              <font>
                <b/>
                <i val="0"/>
                <color theme="1"/>
              </font>
              <fill>
                <patternFill patternType="solid"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K4:K9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tabColor rgb="FF82C755"/>
    <pageSetUpPr fitToPage="1"/>
  </sheetPr>
  <dimension ref="A1:P33"/>
  <sheetViews>
    <sheetView showGridLines="0" workbookViewId="0">
      <selection activeCell="M4" sqref="M4:M30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1.14062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style="1" customWidth="1"/>
    <col min="18" max="16384" width="8.7109375" style="1"/>
  </cols>
  <sheetData>
    <row r="1" spans="1:16" ht="11.25" customHeight="1"/>
    <row r="2" spans="1:16" ht="18" customHeight="1">
      <c r="A2" s="3"/>
      <c r="B2" s="22"/>
      <c r="C2" s="13"/>
      <c r="D2" s="13"/>
      <c r="E2" s="13"/>
      <c r="F2" s="13"/>
      <c r="G2" s="13"/>
      <c r="H2" s="13"/>
      <c r="I2" s="13"/>
      <c r="J2" s="14"/>
      <c r="K2" s="13"/>
      <c r="L2" s="14"/>
      <c r="M2" s="226" t="s">
        <v>23</v>
      </c>
      <c r="N2" s="227">
        <v>2013</v>
      </c>
      <c r="O2" s="227"/>
      <c r="P2" s="218">
        <f>CalendarYear</f>
        <v>2020</v>
      </c>
    </row>
    <row r="3" spans="1:16" ht="21" customHeight="1">
      <c r="A3" s="3"/>
      <c r="B3" s="225" t="s">
        <v>18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4"/>
      <c r="K3" s="2"/>
      <c r="L3" s="4"/>
      <c r="M3" s="228"/>
      <c r="N3" s="229"/>
      <c r="O3" s="229"/>
      <c r="P3" s="219"/>
    </row>
    <row r="4" spans="1:16" ht="18" customHeight="1">
      <c r="A4" s="3"/>
      <c r="B4" s="225"/>
      <c r="C4" s="5">
        <f>IF(DAY(AugSun1)=1,AugSun1-6,AugSun1+1)</f>
        <v>44038</v>
      </c>
      <c r="D4" s="5">
        <f>IF(DAY(AugSun1)=1,AugSun1-5,AugSun1+2)</f>
        <v>44039</v>
      </c>
      <c r="E4" s="5">
        <f>IF(DAY(AugSun1)=1,AugSun1-4,AugSun1+3)</f>
        <v>44040</v>
      </c>
      <c r="F4" s="5">
        <f>IF(DAY(AugSun1)=1,AugSun1-3,AugSun1+4)</f>
        <v>44041</v>
      </c>
      <c r="G4" s="5">
        <f>IF(DAY(AugSun1)=1,AugSun1-2,AugSun1+5)</f>
        <v>44042</v>
      </c>
      <c r="H4" s="5">
        <f>IF(DAY(AugSun1)=1,AugSun1-1,AugSun1+6)</f>
        <v>44043</v>
      </c>
      <c r="I4" s="5">
        <f>IF(DAY(AugSun1)=1,AugSun1,AugSun1+7)</f>
        <v>44044</v>
      </c>
      <c r="J4" s="4"/>
      <c r="K4" s="5"/>
      <c r="L4" s="4"/>
      <c r="M4" s="230" t="s">
        <v>26</v>
      </c>
      <c r="N4" s="8"/>
      <c r="O4" s="197"/>
      <c r="P4" s="198"/>
    </row>
    <row r="5" spans="1:16" ht="18" customHeight="1">
      <c r="A5" s="3"/>
      <c r="B5" s="20"/>
      <c r="C5" s="5">
        <f>IF(DAY(AugSun1)=1,AugSun1+1,AugSun1+8)</f>
        <v>44045</v>
      </c>
      <c r="D5" s="5">
        <f>IF(DAY(AugSun1)=1,AugSun1+2,AugSun1+9)</f>
        <v>44046</v>
      </c>
      <c r="E5" s="5">
        <f>IF(DAY(AugSun1)=1,AugSun1+3,AugSun1+10)</f>
        <v>44047</v>
      </c>
      <c r="F5" s="5">
        <f>IF(DAY(AugSun1)=1,AugSun1+4,AugSun1+11)</f>
        <v>44048</v>
      </c>
      <c r="G5" s="5">
        <f>IF(DAY(AugSun1)=1,AugSun1+5,AugSun1+12)</f>
        <v>44049</v>
      </c>
      <c r="H5" s="5">
        <f>IF(DAY(AugSun1)=1,AugSun1+6,AugSun1+13)</f>
        <v>44050</v>
      </c>
      <c r="I5" s="5">
        <f>IF(DAY(AugSun1)=1,AugSun1+7,AugSun1+14)</f>
        <v>44051</v>
      </c>
      <c r="J5" s="4"/>
      <c r="K5" s="5"/>
      <c r="L5" s="4"/>
      <c r="M5" s="217"/>
      <c r="N5" s="9"/>
      <c r="O5" s="159"/>
      <c r="P5" s="160"/>
    </row>
    <row r="6" spans="1:16" ht="18" customHeight="1">
      <c r="A6" s="3"/>
      <c r="B6" s="20"/>
      <c r="C6" s="5">
        <f>IF(DAY(AugSun1)=1,AugSun1+8,AugSun1+15)</f>
        <v>44052</v>
      </c>
      <c r="D6" s="5">
        <f>IF(DAY(AugSun1)=1,AugSun1+9,AugSun1+16)</f>
        <v>44053</v>
      </c>
      <c r="E6" s="5">
        <f>IF(DAY(AugSun1)=1,AugSun1+10,AugSun1+17)</f>
        <v>44054</v>
      </c>
      <c r="F6" s="5">
        <f>IF(DAY(AugSun1)=1,AugSun1+11,AugSun1+18)</f>
        <v>44055</v>
      </c>
      <c r="G6" s="5">
        <f>IF(DAY(AugSun1)=1,AugSun1+12,AugSun1+19)</f>
        <v>44056</v>
      </c>
      <c r="H6" s="5">
        <f>IF(DAY(AugSun1)=1,AugSun1+13,AugSun1+20)</f>
        <v>44057</v>
      </c>
      <c r="I6" s="5">
        <f>IF(DAY(AugSun1)=1,AugSun1+14,AugSun1+21)</f>
        <v>44058</v>
      </c>
      <c r="J6" s="4"/>
      <c r="K6" s="5"/>
      <c r="L6" s="4"/>
      <c r="M6" s="217"/>
      <c r="N6" s="9"/>
      <c r="O6" s="159"/>
      <c r="P6" s="160"/>
    </row>
    <row r="7" spans="1:16" ht="18" customHeight="1">
      <c r="A7" s="3"/>
      <c r="B7" s="20"/>
      <c r="C7" s="5">
        <f>IF(DAY(AugSun1)=1,AugSun1+15,AugSun1+22)</f>
        <v>44059</v>
      </c>
      <c r="D7" s="5">
        <f>IF(DAY(AugSun1)=1,AugSun1+16,AugSun1+23)</f>
        <v>44060</v>
      </c>
      <c r="E7" s="5">
        <f>IF(DAY(AugSun1)=1,AugSun1+17,AugSun1+24)</f>
        <v>44061</v>
      </c>
      <c r="F7" s="5">
        <f>IF(DAY(AugSun1)=1,AugSun1+18,AugSun1+25)</f>
        <v>44062</v>
      </c>
      <c r="G7" s="5">
        <f>IF(DAY(AugSun1)=1,AugSun1+19,AugSun1+26)</f>
        <v>44063</v>
      </c>
      <c r="H7" s="5">
        <f>IF(DAY(AugSun1)=1,AugSun1+20,AugSun1+27)</f>
        <v>44064</v>
      </c>
      <c r="I7" s="5">
        <f>IF(DAY(AugSun1)=1,AugSun1+21,AugSun1+28)</f>
        <v>44065</v>
      </c>
      <c r="J7" s="4"/>
      <c r="K7" s="5"/>
      <c r="L7" s="4"/>
      <c r="M7" s="115"/>
      <c r="N7" s="9"/>
      <c r="O7" s="159"/>
      <c r="P7" s="160"/>
    </row>
    <row r="8" spans="1:16" ht="18.75" customHeight="1">
      <c r="A8" s="3"/>
      <c r="B8" s="20"/>
      <c r="C8" s="5">
        <f>IF(DAY(AugSun1)=1,AugSun1+22,AugSun1+29)</f>
        <v>44066</v>
      </c>
      <c r="D8" s="5">
        <f>IF(DAY(AugSun1)=1,AugSun1+23,AugSun1+30)</f>
        <v>44067</v>
      </c>
      <c r="E8" s="5">
        <f>IF(DAY(AugSun1)=1,AugSun1+24,AugSun1+31)</f>
        <v>44068</v>
      </c>
      <c r="F8" s="5">
        <f>IF(DAY(AugSun1)=1,AugSun1+25,AugSun1+32)</f>
        <v>44069</v>
      </c>
      <c r="G8" s="5">
        <f>IF(DAY(AugSun1)=1,AugSun1+26,AugSun1+33)</f>
        <v>44070</v>
      </c>
      <c r="H8" s="5">
        <f>IF(DAY(AugSun1)=1,AugSun1+27,AugSun1+34)</f>
        <v>44071</v>
      </c>
      <c r="I8" s="5">
        <f>IF(DAY(AugSun1)=1,AugSun1+28,AugSun1+35)</f>
        <v>44072</v>
      </c>
      <c r="J8" s="4"/>
      <c r="K8" s="5"/>
      <c r="L8" s="4"/>
      <c r="M8" s="115"/>
      <c r="N8" s="9"/>
      <c r="O8" s="159"/>
      <c r="P8" s="160"/>
    </row>
    <row r="9" spans="1:16" ht="18" customHeight="1">
      <c r="A9" s="3"/>
      <c r="B9" s="20"/>
      <c r="C9" s="5">
        <f>IF(DAY(AugSun1)=1,AugSun1+29,AugSun1+36)</f>
        <v>44073</v>
      </c>
      <c r="D9" s="5">
        <f>IF(DAY(AugSun1)=1,AugSun1+30,AugSun1+37)</f>
        <v>44074</v>
      </c>
      <c r="E9" s="5">
        <f>IF(DAY(AugSun1)=1,AugSun1+31,AugSun1+38)</f>
        <v>44075</v>
      </c>
      <c r="F9" s="5">
        <f>IF(DAY(AugSun1)=1,AugSun1+32,AugSun1+39)</f>
        <v>44076</v>
      </c>
      <c r="G9" s="5">
        <f>IF(DAY(AugSun1)=1,AugSun1+33,AugSun1+40)</f>
        <v>44077</v>
      </c>
      <c r="H9" s="5">
        <f>IF(DAY(AugSun1)=1,AugSun1+34,AugSun1+41)</f>
        <v>44078</v>
      </c>
      <c r="I9" s="5">
        <f>IF(DAY(AugSun1)=1,AugSun1+35,AugSun1+42)</f>
        <v>44079</v>
      </c>
      <c r="J9" s="4"/>
      <c r="K9" s="5"/>
      <c r="L9" s="4"/>
      <c r="M9" s="116"/>
      <c r="N9" s="10"/>
      <c r="O9" s="161"/>
      <c r="P9" s="162"/>
    </row>
    <row r="10" spans="1:16" ht="18" customHeight="1">
      <c r="A10" s="3"/>
      <c r="B10" s="21"/>
      <c r="C10" s="15"/>
      <c r="D10" s="15"/>
      <c r="E10" s="15"/>
      <c r="F10" s="15"/>
      <c r="G10" s="15"/>
      <c r="H10" s="15"/>
      <c r="I10" s="15"/>
      <c r="J10" s="16"/>
      <c r="K10" s="15"/>
      <c r="L10" s="16"/>
      <c r="M10" s="216" t="s">
        <v>28</v>
      </c>
      <c r="N10" s="8"/>
      <c r="O10" s="172"/>
      <c r="P10" s="173"/>
    </row>
    <row r="11" spans="1:16" ht="18" customHeight="1">
      <c r="A11" s="3"/>
      <c r="B11" s="233" t="s">
        <v>8</v>
      </c>
      <c r="C11" s="234"/>
      <c r="D11" s="234"/>
      <c r="E11" s="234"/>
      <c r="F11" s="234"/>
      <c r="G11" s="234"/>
      <c r="H11" s="234"/>
      <c r="I11" s="234"/>
      <c r="J11" s="235"/>
      <c r="K11" s="120"/>
      <c r="L11" s="120"/>
      <c r="M11" s="217"/>
      <c r="N11" s="9"/>
      <c r="O11" s="159"/>
      <c r="P11" s="160"/>
    </row>
    <row r="12" spans="1:16" ht="18" customHeight="1">
      <c r="A12" s="3"/>
      <c r="B12" s="119"/>
      <c r="C12"/>
      <c r="D12"/>
      <c r="E12"/>
      <c r="F12"/>
      <c r="G12"/>
      <c r="H12"/>
      <c r="I12"/>
      <c r="J12" s="118"/>
      <c r="K12" s="120"/>
      <c r="L12" s="120"/>
      <c r="M12" s="217"/>
      <c r="N12" s="9"/>
      <c r="O12" s="159"/>
      <c r="P12" s="160"/>
    </row>
    <row r="13" spans="1:16" ht="18" customHeight="1">
      <c r="B13" s="121" t="s">
        <v>25</v>
      </c>
      <c r="C13" s="231" t="s">
        <v>6</v>
      </c>
      <c r="D13" s="232"/>
      <c r="E13" s="231" t="s">
        <v>7</v>
      </c>
      <c r="F13" s="232"/>
      <c r="G13" s="231" t="s">
        <v>9</v>
      </c>
      <c r="H13" s="232"/>
      <c r="I13" s="231" t="s">
        <v>10</v>
      </c>
      <c r="J13" s="232"/>
      <c r="K13" s="122" t="s">
        <v>11</v>
      </c>
      <c r="L13" s="123" t="s">
        <v>24</v>
      </c>
      <c r="M13" s="115"/>
      <c r="N13" s="9"/>
      <c r="O13" s="159"/>
      <c r="P13" s="160"/>
    </row>
    <row r="14" spans="1:16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115"/>
      <c r="N14" s="9"/>
      <c r="O14" s="159"/>
      <c r="P14" s="160"/>
    </row>
    <row r="15" spans="1:16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117"/>
      <c r="N15" s="11"/>
      <c r="O15" s="161"/>
      <c r="P15" s="162"/>
    </row>
    <row r="16" spans="1:16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216" t="s">
        <v>29</v>
      </c>
      <c r="N16" s="8"/>
      <c r="O16" s="172"/>
      <c r="P16" s="173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217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217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115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115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117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216" t="s">
        <v>30</v>
      </c>
      <c r="N22" s="8"/>
      <c r="O22" s="172"/>
      <c r="P22" s="173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217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217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217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115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117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216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217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217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6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</sheetData>
  <mergeCells count="118">
    <mergeCell ref="M10:M12"/>
    <mergeCell ref="P2:P3"/>
    <mergeCell ref="O10:P10"/>
    <mergeCell ref="O11:P11"/>
    <mergeCell ref="O12:P12"/>
    <mergeCell ref="C13:D13"/>
    <mergeCell ref="E13:F13"/>
    <mergeCell ref="G13:H13"/>
    <mergeCell ref="I13:J13"/>
    <mergeCell ref="O13:P13"/>
    <mergeCell ref="B11:J11"/>
    <mergeCell ref="B3:B4"/>
    <mergeCell ref="M2:O3"/>
    <mergeCell ref="M4:M6"/>
    <mergeCell ref="O4:P4"/>
    <mergeCell ref="O5:P5"/>
    <mergeCell ref="O6:P6"/>
    <mergeCell ref="O7:P7"/>
    <mergeCell ref="O8:P8"/>
    <mergeCell ref="O9:P9"/>
    <mergeCell ref="C14:D14"/>
    <mergeCell ref="E14:F14"/>
    <mergeCell ref="G14:H14"/>
    <mergeCell ref="O14:P14"/>
    <mergeCell ref="C15:D15"/>
    <mergeCell ref="E15:F15"/>
    <mergeCell ref="G15:H15"/>
    <mergeCell ref="O15:P15"/>
    <mergeCell ref="I14:J15"/>
    <mergeCell ref="I18:J18"/>
    <mergeCell ref="I19:J19"/>
    <mergeCell ref="O17:P17"/>
    <mergeCell ref="C18:D18"/>
    <mergeCell ref="E18:F18"/>
    <mergeCell ref="G18:H18"/>
    <mergeCell ref="O18:P18"/>
    <mergeCell ref="C16:D16"/>
    <mergeCell ref="E16:F16"/>
    <mergeCell ref="G16:H16"/>
    <mergeCell ref="M16:M18"/>
    <mergeCell ref="O16:P16"/>
    <mergeCell ref="C17:D17"/>
    <mergeCell ref="E17:F17"/>
    <mergeCell ref="G17:H17"/>
    <mergeCell ref="I16:J17"/>
    <mergeCell ref="C19:D19"/>
    <mergeCell ref="E19:F19"/>
    <mergeCell ref="G19:H19"/>
    <mergeCell ref="O19:P19"/>
    <mergeCell ref="C20:D20"/>
    <mergeCell ref="E20:F20"/>
    <mergeCell ref="G20:H20"/>
    <mergeCell ref="O20:P20"/>
    <mergeCell ref="I20:J21"/>
    <mergeCell ref="O22:P22"/>
    <mergeCell ref="C23:D23"/>
    <mergeCell ref="E23:F23"/>
    <mergeCell ref="G23:H23"/>
    <mergeCell ref="O23:P23"/>
    <mergeCell ref="C21:D21"/>
    <mergeCell ref="E21:F21"/>
    <mergeCell ref="G21:H21"/>
    <mergeCell ref="O21:P21"/>
    <mergeCell ref="C22:D22"/>
    <mergeCell ref="E22:F22"/>
    <mergeCell ref="G22:H22"/>
    <mergeCell ref="M22:M25"/>
    <mergeCell ref="C24:D24"/>
    <mergeCell ref="E24:F24"/>
    <mergeCell ref="G24:H24"/>
    <mergeCell ref="O24:P24"/>
    <mergeCell ref="C25:D25"/>
    <mergeCell ref="E25:F25"/>
    <mergeCell ref="I22:J22"/>
    <mergeCell ref="E28:F28"/>
    <mergeCell ref="G28:H28"/>
    <mergeCell ref="M28:M30"/>
    <mergeCell ref="O28:P28"/>
    <mergeCell ref="C29:D29"/>
    <mergeCell ref="E29:F29"/>
    <mergeCell ref="G29:H29"/>
    <mergeCell ref="I28:J29"/>
    <mergeCell ref="C26:D26"/>
    <mergeCell ref="E26:F26"/>
    <mergeCell ref="G26:H26"/>
    <mergeCell ref="O26:P26"/>
    <mergeCell ref="C27:D27"/>
    <mergeCell ref="E27:F27"/>
    <mergeCell ref="G27:H27"/>
    <mergeCell ref="O27:P27"/>
    <mergeCell ref="O29:P29"/>
    <mergeCell ref="I23:J23"/>
    <mergeCell ref="I26:J26"/>
    <mergeCell ref="I27:J27"/>
    <mergeCell ref="C28:D28"/>
    <mergeCell ref="I30:J30"/>
    <mergeCell ref="C30:D30"/>
    <mergeCell ref="E30:F30"/>
    <mergeCell ref="G30:H30"/>
    <mergeCell ref="O30:P30"/>
    <mergeCell ref="G25:H25"/>
    <mergeCell ref="O25:P25"/>
    <mergeCell ref="I31:J31"/>
    <mergeCell ref="I32:J32"/>
    <mergeCell ref="I33:J33"/>
    <mergeCell ref="O33:P33"/>
    <mergeCell ref="I24:J25"/>
    <mergeCell ref="C31:D31"/>
    <mergeCell ref="E31:F31"/>
    <mergeCell ref="G31:H31"/>
    <mergeCell ref="O31:P31"/>
    <mergeCell ref="C32:D32"/>
    <mergeCell ref="E32:F32"/>
    <mergeCell ref="G32:H32"/>
    <mergeCell ref="O32:P32"/>
    <mergeCell ref="C33:D33"/>
    <mergeCell ref="E33:F33"/>
    <mergeCell ref="G33:H33"/>
  </mergeCells>
  <conditionalFormatting sqref="C4:H4">
    <cfRule type="expression" dxfId="79" priority="21" stopIfTrue="1">
      <formula>DAY(C4)&gt;8</formula>
    </cfRule>
  </conditionalFormatting>
  <conditionalFormatting sqref="C8:I10">
    <cfRule type="expression" dxfId="78" priority="20" stopIfTrue="1">
      <formula>AND(DAY(C8)&gt;=1,DAY(C8)&lt;=15)</formula>
    </cfRule>
  </conditionalFormatting>
  <conditionalFormatting sqref="C4:I9">
    <cfRule type="expression" dxfId="77" priority="22">
      <formula>VLOOKUP(DAY(C4),AssignmentDays,1,FALSE)=DAY(C4)</formula>
    </cfRule>
  </conditionalFormatting>
  <conditionalFormatting sqref="B14:I14 B15:C15 B16:I16 B17:H19 B22:H23 B26:H27 B30:H33 K14:L19 E15:H15 K22:L23 K26:L27 K30:L33">
    <cfRule type="expression" dxfId="76" priority="11">
      <formula>B14&lt;&gt;""</formula>
    </cfRule>
  </conditionalFormatting>
  <conditionalFormatting sqref="B20:I20 B21:H21 K20:L21">
    <cfRule type="expression" dxfId="75" priority="10">
      <formula>B20&lt;&gt;""</formula>
    </cfRule>
  </conditionalFormatting>
  <conditionalFormatting sqref="B24:H25 K24:L25">
    <cfRule type="expression" dxfId="74" priority="9">
      <formula>B24&lt;&gt;""</formula>
    </cfRule>
  </conditionalFormatting>
  <conditionalFormatting sqref="B28:H29 K28:L29">
    <cfRule type="expression" dxfId="73" priority="8">
      <formula>B28&lt;&gt;""</formula>
    </cfRule>
  </conditionalFormatting>
  <conditionalFormatting sqref="I18:J19">
    <cfRule type="expression" dxfId="72" priority="7">
      <formula>I18&lt;&gt;""</formula>
    </cfRule>
  </conditionalFormatting>
  <conditionalFormatting sqref="I22:J23">
    <cfRule type="expression" dxfId="71" priority="6">
      <formula>I22&lt;&gt;""</formula>
    </cfRule>
  </conditionalFormatting>
  <conditionalFormatting sqref="I24">
    <cfRule type="expression" dxfId="70" priority="5">
      <formula>I24&lt;&gt;""</formula>
    </cfRule>
  </conditionalFormatting>
  <conditionalFormatting sqref="I28">
    <cfRule type="expression" dxfId="69" priority="4">
      <formula>I28&lt;&gt;""</formula>
    </cfRule>
  </conditionalFormatting>
  <conditionalFormatting sqref="I26:J27">
    <cfRule type="expression" dxfId="68" priority="3">
      <formula>I26&lt;&gt;""</formula>
    </cfRule>
  </conditionalFormatting>
  <conditionalFormatting sqref="I30:J31">
    <cfRule type="expression" dxfId="67" priority="2">
      <formula>I30&lt;&gt;""</formula>
    </cfRule>
  </conditionalFormatting>
  <conditionalFormatting sqref="I32:J33">
    <cfRule type="expression" dxfId="66" priority="1">
      <formula>I32&lt;&gt;""</formula>
    </cfRule>
  </conditionalFormatting>
  <printOptions horizontalCentered="1" verticalCentered="1"/>
  <pageMargins left="0.5" right="0.5" top="0.5" bottom="0.5" header="0.3" footer="0.3"/>
  <pageSetup scale="91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A62FC27A-839E-D943-B924-56D60542BBDE}">
            <xm:f>AND(DAY(Jan!K8)&gt;=1,DAY(Jan!K8)&lt;=15)</xm:f>
            <x14:dxf>
              <font>
                <color theme="0" tint="-0.24994659260841701"/>
              </font>
            </x14:dxf>
          </x14:cfRule>
          <xm:sqref>K8:K10</xm:sqref>
        </x14:conditionalFormatting>
        <x14:conditionalFormatting xmlns:xm="http://schemas.microsoft.com/office/excel/2006/main">
          <x14:cfRule type="expression" priority="18" id="{C0436244-2E4A-8D41-9F2C-27C0B4AA193B}">
            <xm:f>VLOOKUP(DAY(Jan!K4),AssignmentDays,1,FALSE)=DAY(Jan!K4)</xm:f>
            <x14:dxf>
              <font>
                <b/>
                <i val="0"/>
                <color theme="1"/>
              </font>
              <fill>
                <patternFill patternType="solid"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K4:K9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82C755"/>
    <pageSetUpPr fitToPage="1"/>
  </sheetPr>
  <dimension ref="A1:P33"/>
  <sheetViews>
    <sheetView showGridLines="0" workbookViewId="0">
      <selection activeCell="M4" sqref="M4:M30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1.14062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style="1" customWidth="1"/>
    <col min="18" max="16384" width="8.7109375" style="1"/>
  </cols>
  <sheetData>
    <row r="1" spans="1:16" ht="11.25" customHeight="1"/>
    <row r="2" spans="1:16" ht="18" customHeight="1">
      <c r="A2" s="3"/>
      <c r="B2" s="22"/>
      <c r="C2" s="13"/>
      <c r="D2" s="13"/>
      <c r="E2" s="13"/>
      <c r="F2" s="13"/>
      <c r="G2" s="13"/>
      <c r="H2" s="13"/>
      <c r="I2" s="13"/>
      <c r="J2" s="14"/>
      <c r="K2" s="13"/>
      <c r="L2" s="14"/>
      <c r="M2" s="226" t="s">
        <v>23</v>
      </c>
      <c r="N2" s="227">
        <v>2013</v>
      </c>
      <c r="O2" s="227"/>
      <c r="P2" s="218">
        <f>CalendarYear</f>
        <v>2020</v>
      </c>
    </row>
    <row r="3" spans="1:16" ht="21" customHeight="1">
      <c r="A3" s="3"/>
      <c r="B3" s="225" t="s">
        <v>19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4"/>
      <c r="K3" s="2"/>
      <c r="L3" s="4"/>
      <c r="M3" s="228"/>
      <c r="N3" s="229"/>
      <c r="O3" s="229"/>
      <c r="P3" s="219"/>
    </row>
    <row r="4" spans="1:16" ht="18" customHeight="1">
      <c r="A4" s="3"/>
      <c r="B4" s="225"/>
      <c r="C4" s="5">
        <f>IF(DAY(SepSun1)=1,SepSun1-6,SepSun1+1)</f>
        <v>44073</v>
      </c>
      <c r="D4" s="5">
        <f>IF(DAY(SepSun1)=1,SepSun1-5,SepSun1+2)</f>
        <v>44074</v>
      </c>
      <c r="E4" s="5">
        <f>IF(DAY(SepSun1)=1,SepSun1-4,SepSun1+3)</f>
        <v>44075</v>
      </c>
      <c r="F4" s="5">
        <f>IF(DAY(SepSun1)=1,SepSun1-3,SepSun1+4)</f>
        <v>44076</v>
      </c>
      <c r="G4" s="5">
        <f>IF(DAY(SepSun1)=1,SepSun1-2,SepSun1+5)</f>
        <v>44077</v>
      </c>
      <c r="H4" s="5">
        <f>IF(DAY(SepSun1)=1,SepSun1-1,SepSun1+6)</f>
        <v>44078</v>
      </c>
      <c r="I4" s="5">
        <f>IF(DAY(SepSun1)=1,SepSun1,SepSun1+7)</f>
        <v>44079</v>
      </c>
      <c r="J4" s="4"/>
      <c r="K4" s="5"/>
      <c r="L4" s="4"/>
      <c r="M4" s="230" t="s">
        <v>26</v>
      </c>
      <c r="N4" s="8"/>
      <c r="O4" s="197"/>
      <c r="P4" s="198"/>
    </row>
    <row r="5" spans="1:16" ht="18" customHeight="1">
      <c r="A5" s="3"/>
      <c r="B5" s="20"/>
      <c r="C5" s="5">
        <f>IF(DAY(SepSun1)=1,SepSun1+1,SepSun1+8)</f>
        <v>44080</v>
      </c>
      <c r="D5" s="5">
        <f>IF(DAY(SepSun1)=1,SepSun1+2,SepSun1+9)</f>
        <v>44081</v>
      </c>
      <c r="E5" s="5">
        <f>IF(DAY(SepSun1)=1,SepSun1+3,SepSun1+10)</f>
        <v>44082</v>
      </c>
      <c r="F5" s="5">
        <f>IF(DAY(SepSun1)=1,SepSun1+4,SepSun1+11)</f>
        <v>44083</v>
      </c>
      <c r="G5" s="5">
        <f>IF(DAY(SepSun1)=1,SepSun1+5,SepSun1+12)</f>
        <v>44084</v>
      </c>
      <c r="H5" s="5">
        <f>IF(DAY(SepSun1)=1,SepSun1+6,SepSun1+13)</f>
        <v>44085</v>
      </c>
      <c r="I5" s="5">
        <f>IF(DAY(SepSun1)=1,SepSun1+7,SepSun1+14)</f>
        <v>44086</v>
      </c>
      <c r="J5" s="4"/>
      <c r="K5" s="5"/>
      <c r="L5" s="4"/>
      <c r="M5" s="217"/>
      <c r="N5" s="9"/>
      <c r="O5" s="159"/>
      <c r="P5" s="160"/>
    </row>
    <row r="6" spans="1:16" ht="18" customHeight="1">
      <c r="A6" s="3"/>
      <c r="B6" s="20"/>
      <c r="C6" s="5">
        <f>IF(DAY(SepSun1)=1,SepSun1+8,SepSun1+15)</f>
        <v>44087</v>
      </c>
      <c r="D6" s="5">
        <f>IF(DAY(SepSun1)=1,SepSun1+9,SepSun1+16)</f>
        <v>44088</v>
      </c>
      <c r="E6" s="5">
        <f>IF(DAY(SepSun1)=1,SepSun1+10,SepSun1+17)</f>
        <v>44089</v>
      </c>
      <c r="F6" s="5">
        <f>IF(DAY(SepSun1)=1,SepSun1+11,SepSun1+18)</f>
        <v>44090</v>
      </c>
      <c r="G6" s="5">
        <f>IF(DAY(SepSun1)=1,SepSun1+12,SepSun1+19)</f>
        <v>44091</v>
      </c>
      <c r="H6" s="5">
        <f>IF(DAY(SepSun1)=1,SepSun1+13,SepSun1+20)</f>
        <v>44092</v>
      </c>
      <c r="I6" s="5">
        <f>IF(DAY(SepSun1)=1,SepSun1+14,SepSun1+21)</f>
        <v>44093</v>
      </c>
      <c r="J6" s="4"/>
      <c r="K6" s="5"/>
      <c r="L6" s="4"/>
      <c r="M6" s="217"/>
      <c r="N6" s="9"/>
      <c r="O6" s="159"/>
      <c r="P6" s="160"/>
    </row>
    <row r="7" spans="1:16" ht="18" customHeight="1">
      <c r="A7" s="3"/>
      <c r="B7" s="20"/>
      <c r="C7" s="5">
        <f>IF(DAY(SepSun1)=1,SepSun1+15,SepSun1+22)</f>
        <v>44094</v>
      </c>
      <c r="D7" s="5">
        <f>IF(DAY(SepSun1)=1,SepSun1+16,SepSun1+23)</f>
        <v>44095</v>
      </c>
      <c r="E7" s="5">
        <f>IF(DAY(SepSun1)=1,SepSun1+17,SepSun1+24)</f>
        <v>44096</v>
      </c>
      <c r="F7" s="5">
        <f>IF(DAY(SepSun1)=1,SepSun1+18,SepSun1+25)</f>
        <v>44097</v>
      </c>
      <c r="G7" s="5">
        <f>IF(DAY(SepSun1)=1,SepSun1+19,SepSun1+26)</f>
        <v>44098</v>
      </c>
      <c r="H7" s="5">
        <f>IF(DAY(SepSun1)=1,SepSun1+20,SepSun1+27)</f>
        <v>44099</v>
      </c>
      <c r="I7" s="5">
        <f>IF(DAY(SepSun1)=1,SepSun1+21,SepSun1+28)</f>
        <v>44100</v>
      </c>
      <c r="J7" s="4"/>
      <c r="K7" s="5"/>
      <c r="L7" s="4"/>
      <c r="M7" s="115"/>
      <c r="N7" s="9"/>
      <c r="O7" s="159"/>
      <c r="P7" s="160"/>
    </row>
    <row r="8" spans="1:16" ht="18.75" customHeight="1">
      <c r="A8" s="3"/>
      <c r="B8" s="20"/>
      <c r="C8" s="5">
        <f>IF(DAY(SepSun1)=1,SepSun1+22,SepSun1+29)</f>
        <v>44101</v>
      </c>
      <c r="D8" s="5">
        <f>IF(DAY(SepSun1)=1,SepSun1+23,SepSun1+30)</f>
        <v>44102</v>
      </c>
      <c r="E8" s="5">
        <f>IF(DAY(SepSun1)=1,SepSun1+24,SepSun1+31)</f>
        <v>44103</v>
      </c>
      <c r="F8" s="5">
        <f>IF(DAY(SepSun1)=1,SepSun1+25,SepSun1+32)</f>
        <v>44104</v>
      </c>
      <c r="G8" s="5">
        <f>IF(DAY(SepSun1)=1,SepSun1+26,SepSun1+33)</f>
        <v>44105</v>
      </c>
      <c r="H8" s="5">
        <f>IF(DAY(SepSun1)=1,SepSun1+27,SepSun1+34)</f>
        <v>44106</v>
      </c>
      <c r="I8" s="5">
        <f>IF(DAY(SepSun1)=1,SepSun1+28,SepSun1+35)</f>
        <v>44107</v>
      </c>
      <c r="J8" s="4"/>
      <c r="K8" s="5"/>
      <c r="L8" s="4"/>
      <c r="M8" s="115"/>
      <c r="N8" s="9"/>
      <c r="O8" s="159"/>
      <c r="P8" s="160"/>
    </row>
    <row r="9" spans="1:16" ht="18" customHeight="1">
      <c r="A9" s="3"/>
      <c r="B9" s="20"/>
      <c r="C9" s="5">
        <f>IF(DAY(SepSun1)=1,SepSun1+29,SepSun1+36)</f>
        <v>44108</v>
      </c>
      <c r="D9" s="5">
        <f>IF(DAY(SepSun1)=1,SepSun1+30,SepSun1+37)</f>
        <v>44109</v>
      </c>
      <c r="E9" s="5">
        <f>IF(DAY(SepSun1)=1,SepSun1+31,SepSun1+38)</f>
        <v>44110</v>
      </c>
      <c r="F9" s="5">
        <f>IF(DAY(SepSun1)=1,SepSun1+32,SepSun1+39)</f>
        <v>44111</v>
      </c>
      <c r="G9" s="5">
        <f>IF(DAY(SepSun1)=1,SepSun1+33,SepSun1+40)</f>
        <v>44112</v>
      </c>
      <c r="H9" s="5">
        <f>IF(DAY(SepSun1)=1,SepSun1+34,SepSun1+41)</f>
        <v>44113</v>
      </c>
      <c r="I9" s="5">
        <f>IF(DAY(SepSun1)=1,SepSun1+35,SepSun1+42)</f>
        <v>44114</v>
      </c>
      <c r="J9" s="4"/>
      <c r="K9" s="5"/>
      <c r="L9" s="4"/>
      <c r="M9" s="116"/>
      <c r="N9" s="10"/>
      <c r="O9" s="161"/>
      <c r="P9" s="162"/>
    </row>
    <row r="10" spans="1:16" ht="18" customHeight="1">
      <c r="A10" s="3"/>
      <c r="B10" s="21"/>
      <c r="C10" s="15"/>
      <c r="D10" s="15"/>
      <c r="E10" s="15"/>
      <c r="F10" s="15"/>
      <c r="G10" s="15"/>
      <c r="H10" s="15"/>
      <c r="I10" s="15"/>
      <c r="J10" s="16"/>
      <c r="K10" s="15"/>
      <c r="L10" s="16"/>
      <c r="M10" s="216" t="s">
        <v>28</v>
      </c>
      <c r="N10" s="8"/>
      <c r="O10" s="172"/>
      <c r="P10" s="173"/>
    </row>
    <row r="11" spans="1:16" ht="18" customHeight="1">
      <c r="A11" s="3"/>
      <c r="B11" s="233" t="s">
        <v>8</v>
      </c>
      <c r="C11" s="234"/>
      <c r="D11" s="234"/>
      <c r="E11" s="234"/>
      <c r="F11" s="234"/>
      <c r="G11" s="234"/>
      <c r="H11" s="234"/>
      <c r="I11" s="234"/>
      <c r="J11" s="235"/>
      <c r="K11" s="120"/>
      <c r="L11" s="120"/>
      <c r="M11" s="217"/>
      <c r="N11" s="9"/>
      <c r="O11" s="159"/>
      <c r="P11" s="160"/>
    </row>
    <row r="12" spans="1:16" ht="18" customHeight="1">
      <c r="A12" s="3"/>
      <c r="B12" s="119"/>
      <c r="C12"/>
      <c r="D12"/>
      <c r="E12"/>
      <c r="F12"/>
      <c r="G12"/>
      <c r="H12"/>
      <c r="I12"/>
      <c r="J12" s="118"/>
      <c r="K12" s="120"/>
      <c r="L12" s="120"/>
      <c r="M12" s="217"/>
      <c r="N12" s="9"/>
      <c r="O12" s="159"/>
      <c r="P12" s="160"/>
    </row>
    <row r="13" spans="1:16" ht="18" customHeight="1">
      <c r="B13" s="121" t="s">
        <v>25</v>
      </c>
      <c r="C13" s="231" t="s">
        <v>6</v>
      </c>
      <c r="D13" s="232"/>
      <c r="E13" s="231" t="s">
        <v>7</v>
      </c>
      <c r="F13" s="232"/>
      <c r="G13" s="231" t="s">
        <v>9</v>
      </c>
      <c r="H13" s="232"/>
      <c r="I13" s="231" t="s">
        <v>10</v>
      </c>
      <c r="J13" s="232"/>
      <c r="K13" s="122" t="s">
        <v>11</v>
      </c>
      <c r="L13" s="123" t="s">
        <v>24</v>
      </c>
      <c r="M13" s="115"/>
      <c r="N13" s="9"/>
      <c r="O13" s="159"/>
      <c r="P13" s="160"/>
    </row>
    <row r="14" spans="1:16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115"/>
      <c r="N14" s="9"/>
      <c r="O14" s="159"/>
      <c r="P14" s="160"/>
    </row>
    <row r="15" spans="1:16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117"/>
      <c r="N15" s="11"/>
      <c r="O15" s="161"/>
      <c r="P15" s="162"/>
    </row>
    <row r="16" spans="1:16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216" t="s">
        <v>29</v>
      </c>
      <c r="N16" s="8"/>
      <c r="O16" s="172"/>
      <c r="P16" s="173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217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217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115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115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117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216" t="s">
        <v>30</v>
      </c>
      <c r="N22" s="8"/>
      <c r="O22" s="172"/>
      <c r="P22" s="173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217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217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217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115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117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216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217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217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6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</sheetData>
  <mergeCells count="118">
    <mergeCell ref="M10:M12"/>
    <mergeCell ref="P2:P3"/>
    <mergeCell ref="O10:P10"/>
    <mergeCell ref="O11:P11"/>
    <mergeCell ref="O12:P12"/>
    <mergeCell ref="C13:D13"/>
    <mergeCell ref="E13:F13"/>
    <mergeCell ref="G13:H13"/>
    <mergeCell ref="I13:J13"/>
    <mergeCell ref="O13:P13"/>
    <mergeCell ref="B11:J11"/>
    <mergeCell ref="B3:B4"/>
    <mergeCell ref="M2:O3"/>
    <mergeCell ref="M4:M6"/>
    <mergeCell ref="O4:P4"/>
    <mergeCell ref="O5:P5"/>
    <mergeCell ref="O6:P6"/>
    <mergeCell ref="O7:P7"/>
    <mergeCell ref="O8:P8"/>
    <mergeCell ref="O9:P9"/>
    <mergeCell ref="C14:D14"/>
    <mergeCell ref="E14:F14"/>
    <mergeCell ref="G14:H14"/>
    <mergeCell ref="O14:P14"/>
    <mergeCell ref="C15:D15"/>
    <mergeCell ref="E15:F15"/>
    <mergeCell ref="G15:H15"/>
    <mergeCell ref="O15:P15"/>
    <mergeCell ref="I14:J15"/>
    <mergeCell ref="I18:J18"/>
    <mergeCell ref="I19:J19"/>
    <mergeCell ref="O17:P17"/>
    <mergeCell ref="C18:D18"/>
    <mergeCell ref="E18:F18"/>
    <mergeCell ref="G18:H18"/>
    <mergeCell ref="O18:P18"/>
    <mergeCell ref="C16:D16"/>
    <mergeCell ref="E16:F16"/>
    <mergeCell ref="G16:H16"/>
    <mergeCell ref="M16:M18"/>
    <mergeCell ref="O16:P16"/>
    <mergeCell ref="C17:D17"/>
    <mergeCell ref="E17:F17"/>
    <mergeCell ref="G17:H17"/>
    <mergeCell ref="I16:J17"/>
    <mergeCell ref="C19:D19"/>
    <mergeCell ref="E19:F19"/>
    <mergeCell ref="G19:H19"/>
    <mergeCell ref="O19:P19"/>
    <mergeCell ref="C20:D20"/>
    <mergeCell ref="E20:F20"/>
    <mergeCell ref="G20:H20"/>
    <mergeCell ref="O20:P20"/>
    <mergeCell ref="I20:J21"/>
    <mergeCell ref="O22:P22"/>
    <mergeCell ref="C23:D23"/>
    <mergeCell ref="E23:F23"/>
    <mergeCell ref="G23:H23"/>
    <mergeCell ref="O23:P23"/>
    <mergeCell ref="C21:D21"/>
    <mergeCell ref="E21:F21"/>
    <mergeCell ref="G21:H21"/>
    <mergeCell ref="O21:P21"/>
    <mergeCell ref="C22:D22"/>
    <mergeCell ref="E22:F22"/>
    <mergeCell ref="G22:H22"/>
    <mergeCell ref="M22:M25"/>
    <mergeCell ref="C24:D24"/>
    <mergeCell ref="E24:F24"/>
    <mergeCell ref="G24:H24"/>
    <mergeCell ref="O24:P24"/>
    <mergeCell ref="C25:D25"/>
    <mergeCell ref="E25:F25"/>
    <mergeCell ref="I22:J22"/>
    <mergeCell ref="E28:F28"/>
    <mergeCell ref="G28:H28"/>
    <mergeCell ref="M28:M30"/>
    <mergeCell ref="O28:P28"/>
    <mergeCell ref="C29:D29"/>
    <mergeCell ref="E29:F29"/>
    <mergeCell ref="G29:H29"/>
    <mergeCell ref="I28:J29"/>
    <mergeCell ref="C26:D26"/>
    <mergeCell ref="E26:F26"/>
    <mergeCell ref="G26:H26"/>
    <mergeCell ref="O26:P26"/>
    <mergeCell ref="C27:D27"/>
    <mergeCell ref="E27:F27"/>
    <mergeCell ref="G27:H27"/>
    <mergeCell ref="O27:P27"/>
    <mergeCell ref="O29:P29"/>
    <mergeCell ref="I23:J23"/>
    <mergeCell ref="I26:J26"/>
    <mergeCell ref="I27:J27"/>
    <mergeCell ref="C28:D28"/>
    <mergeCell ref="I30:J30"/>
    <mergeCell ref="C30:D30"/>
    <mergeCell ref="E30:F30"/>
    <mergeCell ref="G30:H30"/>
    <mergeCell ref="O30:P30"/>
    <mergeCell ref="G25:H25"/>
    <mergeCell ref="O25:P25"/>
    <mergeCell ref="I31:J31"/>
    <mergeCell ref="I32:J32"/>
    <mergeCell ref="I33:J33"/>
    <mergeCell ref="O33:P33"/>
    <mergeCell ref="I24:J25"/>
    <mergeCell ref="C31:D31"/>
    <mergeCell ref="E31:F31"/>
    <mergeCell ref="G31:H31"/>
    <mergeCell ref="O31:P31"/>
    <mergeCell ref="C32:D32"/>
    <mergeCell ref="E32:F32"/>
    <mergeCell ref="G32:H32"/>
    <mergeCell ref="O32:P32"/>
    <mergeCell ref="C33:D33"/>
    <mergeCell ref="E33:F33"/>
    <mergeCell ref="G33:H33"/>
  </mergeCells>
  <conditionalFormatting sqref="C4:H4">
    <cfRule type="expression" dxfId="63" priority="21" stopIfTrue="1">
      <formula>DAY(C4)&gt;8</formula>
    </cfRule>
  </conditionalFormatting>
  <conditionalFormatting sqref="C8:I10">
    <cfRule type="expression" dxfId="62" priority="20" stopIfTrue="1">
      <formula>AND(DAY(C8)&gt;=1,DAY(C8)&lt;=15)</formula>
    </cfRule>
  </conditionalFormatting>
  <conditionalFormatting sqref="C4:I9">
    <cfRule type="expression" dxfId="61" priority="22">
      <formula>VLOOKUP(DAY(C4),AssignmentDays,1,FALSE)=DAY(C4)</formula>
    </cfRule>
  </conditionalFormatting>
  <conditionalFormatting sqref="B14:I14 B15:C15 B16:I16 B17:H19 B22:H23 B26:H27 B30:H33 K14:L19 E15:H15 K22:L23 K26:L27 K30:L33">
    <cfRule type="expression" dxfId="60" priority="11">
      <formula>B14&lt;&gt;""</formula>
    </cfRule>
  </conditionalFormatting>
  <conditionalFormatting sqref="B20:I20 B21:H21 K20:L21">
    <cfRule type="expression" dxfId="59" priority="10">
      <formula>B20&lt;&gt;""</formula>
    </cfRule>
  </conditionalFormatting>
  <conditionalFormatting sqref="B24:H25 K24:L25">
    <cfRule type="expression" dxfId="58" priority="9">
      <formula>B24&lt;&gt;""</formula>
    </cfRule>
  </conditionalFormatting>
  <conditionalFormatting sqref="B28:H29 K28:L29">
    <cfRule type="expression" dxfId="57" priority="8">
      <formula>B28&lt;&gt;""</formula>
    </cfRule>
  </conditionalFormatting>
  <conditionalFormatting sqref="I18:J19">
    <cfRule type="expression" dxfId="56" priority="7">
      <formula>I18&lt;&gt;""</formula>
    </cfRule>
  </conditionalFormatting>
  <conditionalFormatting sqref="I22:J23">
    <cfRule type="expression" dxfId="55" priority="6">
      <formula>I22&lt;&gt;""</formula>
    </cfRule>
  </conditionalFormatting>
  <conditionalFormatting sqref="I24">
    <cfRule type="expression" dxfId="54" priority="5">
      <formula>I24&lt;&gt;""</formula>
    </cfRule>
  </conditionalFormatting>
  <conditionalFormatting sqref="I28">
    <cfRule type="expression" dxfId="53" priority="4">
      <formula>I28&lt;&gt;""</formula>
    </cfRule>
  </conditionalFormatting>
  <conditionalFormatting sqref="I26:J27">
    <cfRule type="expression" dxfId="52" priority="3">
      <formula>I26&lt;&gt;""</formula>
    </cfRule>
  </conditionalFormatting>
  <conditionalFormatting sqref="I30:J31">
    <cfRule type="expression" dxfId="51" priority="2">
      <formula>I30&lt;&gt;""</formula>
    </cfRule>
  </conditionalFormatting>
  <conditionalFormatting sqref="I32:J33">
    <cfRule type="expression" dxfId="50" priority="1">
      <formula>I32&lt;&gt;""</formula>
    </cfRule>
  </conditionalFormatting>
  <printOptions horizontalCentered="1" verticalCentered="1"/>
  <pageMargins left="0.5" right="0.5" top="0.5" bottom="0.5" header="0.3" footer="0.3"/>
  <pageSetup scale="91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770A7AF5-D55D-0E49-8F92-87629732A316}">
            <xm:f>AND(DAY(Jan!K8)&gt;=1,DAY(Jan!K8)&lt;=15)</xm:f>
            <x14:dxf>
              <font>
                <color theme="0" tint="-0.24994659260841701"/>
              </font>
            </x14:dxf>
          </x14:cfRule>
          <xm:sqref>K8:K10</xm:sqref>
        </x14:conditionalFormatting>
        <x14:conditionalFormatting xmlns:xm="http://schemas.microsoft.com/office/excel/2006/main">
          <x14:cfRule type="expression" priority="18" id="{BF22A61D-3750-9443-B4E4-7BE1EA15D6BC}">
            <xm:f>VLOOKUP(DAY(Jan!K4),AssignmentDays,1,FALSE)=DAY(Jan!K4)</xm:f>
            <x14:dxf>
              <font>
                <b/>
                <i val="0"/>
                <color theme="1"/>
              </font>
              <fill>
                <patternFill patternType="solid"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K4:K9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26BB1"/>
  </sheetPr>
  <dimension ref="A1:B22"/>
  <sheetViews>
    <sheetView zoomScale="130" zoomScaleNormal="130" zoomScalePageLayoutView="130" workbookViewId="0">
      <selection sqref="A1:B2"/>
    </sheetView>
  </sheetViews>
  <sheetFormatPr defaultColWidth="11.42578125" defaultRowHeight="15"/>
  <cols>
    <col min="1" max="1" width="20.140625" style="132" bestFit="1" customWidth="1"/>
    <col min="2" max="2" width="21.85546875" customWidth="1"/>
  </cols>
  <sheetData>
    <row r="1" spans="1:2" ht="21" customHeight="1">
      <c r="A1" s="236" t="s">
        <v>87</v>
      </c>
      <c r="B1" s="236"/>
    </row>
    <row r="2" spans="1:2" ht="21" customHeight="1">
      <c r="A2" s="236"/>
      <c r="B2" s="236"/>
    </row>
    <row r="3" spans="1:2" ht="15.75">
      <c r="A3" s="129" t="s">
        <v>69</v>
      </c>
    </row>
    <row r="4" spans="1:2" ht="15.75">
      <c r="A4" s="130" t="s">
        <v>75</v>
      </c>
    </row>
    <row r="5" spans="1:2" ht="15.75">
      <c r="A5" s="130" t="s">
        <v>76</v>
      </c>
    </row>
    <row r="6" spans="1:2" ht="15.75">
      <c r="A6" s="130" t="s">
        <v>77</v>
      </c>
    </row>
    <row r="7" spans="1:2" ht="15.75">
      <c r="A7" s="131"/>
    </row>
    <row r="8" spans="1:2" ht="15.75">
      <c r="A8" s="129" t="s">
        <v>70</v>
      </c>
    </row>
    <row r="9" spans="1:2" ht="15.75">
      <c r="A9" s="130" t="s">
        <v>78</v>
      </c>
    </row>
    <row r="10" spans="1:2" ht="15.75">
      <c r="A10" s="130" t="s">
        <v>76</v>
      </c>
    </row>
    <row r="11" spans="1:2" ht="15.75">
      <c r="A11" s="130" t="s">
        <v>77</v>
      </c>
    </row>
    <row r="12" spans="1:2" ht="15.75">
      <c r="A12" s="131"/>
    </row>
    <row r="13" spans="1:2" ht="15.75">
      <c r="A13" s="129" t="s">
        <v>71</v>
      </c>
    </row>
    <row r="14" spans="1:2" ht="15.75">
      <c r="A14" s="130" t="s">
        <v>79</v>
      </c>
    </row>
    <row r="15" spans="1:2" ht="15.75">
      <c r="A15" s="130" t="s">
        <v>80</v>
      </c>
    </row>
    <row r="16" spans="1:2" ht="15.75">
      <c r="A16" s="130" t="s">
        <v>81</v>
      </c>
    </row>
    <row r="17" spans="1:1" ht="15.75">
      <c r="A17" s="131"/>
    </row>
    <row r="18" spans="1:1" ht="15.75">
      <c r="A18" s="129" t="s">
        <v>72</v>
      </c>
    </row>
    <row r="19" spans="1:1" ht="15.75">
      <c r="A19" s="129"/>
    </row>
    <row r="20" spans="1:1" ht="15.75">
      <c r="A20" s="129" t="s">
        <v>73</v>
      </c>
    </row>
    <row r="21" spans="1:1" ht="15.75">
      <c r="A21" s="129"/>
    </row>
    <row r="22" spans="1:1" ht="15.75">
      <c r="A22" s="129" t="s">
        <v>74</v>
      </c>
    </row>
  </sheetData>
  <mergeCells count="1">
    <mergeCell ref="A1:B2"/>
  </mergeCells>
  <pageMargins left="0.7" right="0.7" top="0.75" bottom="0.75" header="0.3" footer="0.3"/>
  <pageSetup orientation="landscape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0">
    <tabColor rgb="FFA26BB1"/>
    <pageSetUpPr fitToPage="1"/>
  </sheetPr>
  <dimension ref="A1:P33"/>
  <sheetViews>
    <sheetView showGridLines="0" workbookViewId="0">
      <selection activeCell="B11" sqref="B11:L13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1.14062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style="1" customWidth="1"/>
    <col min="18" max="16384" width="8.7109375" style="1"/>
  </cols>
  <sheetData>
    <row r="1" spans="1:16" ht="11.25" customHeight="1"/>
    <row r="2" spans="1:16" ht="18" customHeight="1">
      <c r="A2" s="3"/>
      <c r="B2" s="22"/>
      <c r="C2" s="13"/>
      <c r="D2" s="13"/>
      <c r="E2" s="13"/>
      <c r="F2" s="13"/>
      <c r="G2" s="13"/>
      <c r="H2" s="13"/>
      <c r="I2" s="13"/>
      <c r="J2" s="14"/>
      <c r="K2" s="13"/>
      <c r="L2" s="14"/>
      <c r="M2" s="247" t="s">
        <v>23</v>
      </c>
      <c r="N2" s="248">
        <v>2013</v>
      </c>
      <c r="O2" s="248"/>
      <c r="P2" s="239">
        <f>CalendarYear</f>
        <v>2020</v>
      </c>
    </row>
    <row r="3" spans="1:16" ht="21" customHeight="1">
      <c r="A3" s="3"/>
      <c r="B3" s="246" t="s">
        <v>20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4"/>
      <c r="K3" s="2"/>
      <c r="L3" s="4"/>
      <c r="M3" s="249"/>
      <c r="N3" s="250"/>
      <c r="O3" s="250"/>
      <c r="P3" s="240"/>
    </row>
    <row r="4" spans="1:16" ht="18" customHeight="1">
      <c r="A4" s="3"/>
      <c r="B4" s="246"/>
      <c r="C4" s="5">
        <f>IF(DAY(OctSun1)=1,OctSun1-6,OctSun1+1)</f>
        <v>44101</v>
      </c>
      <c r="D4" s="5">
        <f>IF(DAY(OctSun1)=1,OctSun1-5,OctSun1+2)</f>
        <v>44102</v>
      </c>
      <c r="E4" s="5">
        <f>IF(DAY(OctSun1)=1,OctSun1-4,OctSun1+3)</f>
        <v>44103</v>
      </c>
      <c r="F4" s="5">
        <f>IF(DAY(OctSun1)=1,OctSun1-3,OctSun1+4)</f>
        <v>44104</v>
      </c>
      <c r="G4" s="5">
        <f>IF(DAY(OctSun1)=1,OctSun1-2,OctSun1+5)</f>
        <v>44105</v>
      </c>
      <c r="H4" s="5">
        <f>IF(DAY(OctSun1)=1,OctSun1-1,OctSun1+6)</f>
        <v>44106</v>
      </c>
      <c r="I4" s="5">
        <f>IF(DAY(OctSun1)=1,OctSun1,OctSun1+7)</f>
        <v>44107</v>
      </c>
      <c r="J4" s="4"/>
      <c r="K4" s="5"/>
      <c r="L4" s="4"/>
      <c r="M4" s="251" t="s">
        <v>26</v>
      </c>
      <c r="N4" s="8"/>
      <c r="O4" s="197"/>
      <c r="P4" s="198"/>
    </row>
    <row r="5" spans="1:16" ht="18" customHeight="1">
      <c r="A5" s="3"/>
      <c r="B5" s="20"/>
      <c r="C5" s="5">
        <f>IF(DAY(OctSun1)=1,OctSun1+1,OctSun1+8)</f>
        <v>44108</v>
      </c>
      <c r="D5" s="5">
        <f>IF(DAY(OctSun1)=1,OctSun1+2,OctSun1+9)</f>
        <v>44109</v>
      </c>
      <c r="E5" s="5">
        <f>IF(DAY(OctSun1)=1,OctSun1+3,OctSun1+10)</f>
        <v>44110</v>
      </c>
      <c r="F5" s="5">
        <f>IF(DAY(OctSun1)=1,OctSun1+4,OctSun1+11)</f>
        <v>44111</v>
      </c>
      <c r="G5" s="5">
        <f>IF(DAY(OctSun1)=1,OctSun1+5,OctSun1+12)</f>
        <v>44112</v>
      </c>
      <c r="H5" s="5">
        <f>IF(DAY(OctSun1)=1,OctSun1+6,OctSun1+13)</f>
        <v>44113</v>
      </c>
      <c r="I5" s="5">
        <f>IF(DAY(OctSun1)=1,OctSun1+7,OctSun1+14)</f>
        <v>44114</v>
      </c>
      <c r="J5" s="4"/>
      <c r="K5" s="5"/>
      <c r="L5" s="4"/>
      <c r="M5" s="238"/>
      <c r="N5" s="9"/>
      <c r="O5" s="159"/>
      <c r="P5" s="160"/>
    </row>
    <row r="6" spans="1:16" ht="18" customHeight="1">
      <c r="A6" s="3"/>
      <c r="B6" s="20"/>
      <c r="C6" s="5">
        <f>IF(DAY(OctSun1)=1,OctSun1+8,OctSun1+15)</f>
        <v>44115</v>
      </c>
      <c r="D6" s="5">
        <f>IF(DAY(OctSun1)=1,OctSun1+9,OctSun1+16)</f>
        <v>44116</v>
      </c>
      <c r="E6" s="5">
        <f>IF(DAY(OctSun1)=1,OctSun1+10,OctSun1+17)</f>
        <v>44117</v>
      </c>
      <c r="F6" s="5">
        <f>IF(DAY(OctSun1)=1,OctSun1+11,OctSun1+18)</f>
        <v>44118</v>
      </c>
      <c r="G6" s="5">
        <f>IF(DAY(OctSun1)=1,OctSun1+12,OctSun1+19)</f>
        <v>44119</v>
      </c>
      <c r="H6" s="5">
        <f>IF(DAY(OctSun1)=1,OctSun1+13,OctSun1+20)</f>
        <v>44120</v>
      </c>
      <c r="I6" s="5">
        <f>IF(DAY(OctSun1)=1,OctSun1+14,OctSun1+21)</f>
        <v>44121</v>
      </c>
      <c r="J6" s="4"/>
      <c r="K6" s="5"/>
      <c r="L6" s="4"/>
      <c r="M6" s="238"/>
      <c r="N6" s="9"/>
      <c r="O6" s="159"/>
      <c r="P6" s="160"/>
    </row>
    <row r="7" spans="1:16" ht="18" customHeight="1">
      <c r="A7" s="3"/>
      <c r="B7" s="20"/>
      <c r="C7" s="5">
        <f>IF(DAY(OctSun1)=1,OctSun1+15,OctSun1+22)</f>
        <v>44122</v>
      </c>
      <c r="D7" s="5">
        <f>IF(DAY(OctSun1)=1,OctSun1+16,OctSun1+23)</f>
        <v>44123</v>
      </c>
      <c r="E7" s="5">
        <f>IF(DAY(OctSun1)=1,OctSun1+17,OctSun1+24)</f>
        <v>44124</v>
      </c>
      <c r="F7" s="5">
        <f>IF(DAY(OctSun1)=1,OctSun1+18,OctSun1+25)</f>
        <v>44125</v>
      </c>
      <c r="G7" s="5">
        <f>IF(DAY(OctSun1)=1,OctSun1+19,OctSun1+26)</f>
        <v>44126</v>
      </c>
      <c r="H7" s="5">
        <f>IF(DAY(OctSun1)=1,OctSun1+20,OctSun1+27)</f>
        <v>44127</v>
      </c>
      <c r="I7" s="5">
        <f>IF(DAY(OctSun1)=1,OctSun1+21,OctSun1+28)</f>
        <v>44128</v>
      </c>
      <c r="J7" s="4"/>
      <c r="K7" s="5"/>
      <c r="L7" s="4"/>
      <c r="M7" s="124"/>
      <c r="N7" s="9"/>
      <c r="O7" s="159"/>
      <c r="P7" s="160"/>
    </row>
    <row r="8" spans="1:16" ht="18.75" customHeight="1">
      <c r="A8" s="3"/>
      <c r="B8" s="20"/>
      <c r="C8" s="5">
        <f>IF(DAY(OctSun1)=1,OctSun1+22,OctSun1+29)</f>
        <v>44129</v>
      </c>
      <c r="D8" s="5">
        <f>IF(DAY(OctSun1)=1,OctSun1+23,OctSun1+30)</f>
        <v>44130</v>
      </c>
      <c r="E8" s="5">
        <f>IF(DAY(OctSun1)=1,OctSun1+24,OctSun1+31)</f>
        <v>44131</v>
      </c>
      <c r="F8" s="5">
        <f>IF(DAY(OctSun1)=1,OctSun1+25,OctSun1+32)</f>
        <v>44132</v>
      </c>
      <c r="G8" s="5">
        <f>IF(DAY(OctSun1)=1,OctSun1+26,OctSun1+33)</f>
        <v>44133</v>
      </c>
      <c r="H8" s="5">
        <f>IF(DAY(OctSun1)=1,OctSun1+27,OctSun1+34)</f>
        <v>44134</v>
      </c>
      <c r="I8" s="5">
        <f>IF(DAY(OctSun1)=1,OctSun1+28,OctSun1+35)</f>
        <v>44135</v>
      </c>
      <c r="J8" s="4"/>
      <c r="K8" s="5"/>
      <c r="L8" s="4"/>
      <c r="M8" s="124"/>
      <c r="N8" s="9"/>
      <c r="O8" s="159"/>
      <c r="P8" s="160"/>
    </row>
    <row r="9" spans="1:16" ht="18" customHeight="1">
      <c r="A9" s="3"/>
      <c r="B9" s="20"/>
      <c r="C9" s="5">
        <f>IF(DAY(OctSun1)=1,OctSun1+29,OctSun1+36)</f>
        <v>44136</v>
      </c>
      <c r="D9" s="5">
        <f>IF(DAY(OctSun1)=1,OctSun1+30,OctSun1+37)</f>
        <v>44137</v>
      </c>
      <c r="E9" s="5">
        <f>IF(DAY(OctSun1)=1,OctSun1+31,OctSun1+38)</f>
        <v>44138</v>
      </c>
      <c r="F9" s="5">
        <f>IF(DAY(OctSun1)=1,OctSun1+32,OctSun1+39)</f>
        <v>44139</v>
      </c>
      <c r="G9" s="5">
        <f>IF(DAY(OctSun1)=1,OctSun1+33,OctSun1+40)</f>
        <v>44140</v>
      </c>
      <c r="H9" s="5">
        <f>IF(DAY(OctSun1)=1,OctSun1+34,OctSun1+41)</f>
        <v>44141</v>
      </c>
      <c r="I9" s="5">
        <f>IF(DAY(OctSun1)=1,OctSun1+35,OctSun1+42)</f>
        <v>44142</v>
      </c>
      <c r="J9" s="4"/>
      <c r="K9" s="5"/>
      <c r="L9" s="4"/>
      <c r="M9" s="125"/>
      <c r="N9" s="10"/>
      <c r="O9" s="161"/>
      <c r="P9" s="162"/>
    </row>
    <row r="10" spans="1:16" ht="18" customHeight="1">
      <c r="A10" s="3"/>
      <c r="B10" s="21"/>
      <c r="C10" s="15"/>
      <c r="D10" s="15"/>
      <c r="E10" s="15"/>
      <c r="F10" s="15"/>
      <c r="G10" s="15"/>
      <c r="H10" s="15"/>
      <c r="I10" s="15"/>
      <c r="J10" s="16"/>
      <c r="K10" s="15"/>
      <c r="L10" s="16"/>
      <c r="M10" s="237" t="s">
        <v>28</v>
      </c>
      <c r="N10" s="8"/>
      <c r="O10" s="172"/>
      <c r="P10" s="173"/>
    </row>
    <row r="11" spans="1:16" ht="18" customHeight="1">
      <c r="A11" s="3"/>
      <c r="B11" s="241" t="s">
        <v>8</v>
      </c>
      <c r="C11" s="242"/>
      <c r="D11" s="242"/>
      <c r="E11" s="242"/>
      <c r="F11" s="242"/>
      <c r="G11" s="242"/>
      <c r="H11" s="242"/>
      <c r="I11" s="242"/>
      <c r="J11" s="243"/>
      <c r="K11" s="23"/>
      <c r="L11" s="23"/>
      <c r="M11" s="238"/>
      <c r="N11" s="9"/>
      <c r="O11" s="159"/>
      <c r="P11" s="160"/>
    </row>
    <row r="12" spans="1:16" ht="18" customHeight="1">
      <c r="A12" s="3"/>
      <c r="B12" s="241"/>
      <c r="C12" s="242"/>
      <c r="D12" s="242"/>
      <c r="E12" s="242"/>
      <c r="F12" s="242"/>
      <c r="G12" s="242"/>
      <c r="H12" s="242"/>
      <c r="I12" s="242"/>
      <c r="J12" s="243"/>
      <c r="K12" s="23"/>
      <c r="L12" s="23"/>
      <c r="M12" s="238"/>
      <c r="N12" s="9"/>
      <c r="O12" s="159"/>
      <c r="P12" s="160"/>
    </row>
    <row r="13" spans="1:16" ht="18" customHeight="1">
      <c r="B13" s="127" t="s">
        <v>25</v>
      </c>
      <c r="C13" s="244" t="s">
        <v>6</v>
      </c>
      <c r="D13" s="245"/>
      <c r="E13" s="244" t="s">
        <v>7</v>
      </c>
      <c r="F13" s="245"/>
      <c r="G13" s="244" t="s">
        <v>9</v>
      </c>
      <c r="H13" s="245"/>
      <c r="I13" s="244" t="s">
        <v>10</v>
      </c>
      <c r="J13" s="245"/>
      <c r="K13" s="128" t="s">
        <v>11</v>
      </c>
      <c r="L13" s="128" t="s">
        <v>24</v>
      </c>
      <c r="M13" s="124"/>
      <c r="N13" s="9"/>
      <c r="O13" s="159"/>
      <c r="P13" s="160"/>
    </row>
    <row r="14" spans="1:16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124"/>
      <c r="N14" s="9"/>
      <c r="O14" s="159"/>
      <c r="P14" s="160"/>
    </row>
    <row r="15" spans="1:16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126"/>
      <c r="N15" s="11"/>
      <c r="O15" s="161"/>
      <c r="P15" s="162"/>
    </row>
    <row r="16" spans="1:16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237" t="s">
        <v>29</v>
      </c>
      <c r="N16" s="8"/>
      <c r="O16" s="172"/>
      <c r="P16" s="173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238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238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124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124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126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237" t="s">
        <v>30</v>
      </c>
      <c r="N22" s="8"/>
      <c r="O22" s="172"/>
      <c r="P22" s="173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238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238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238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124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126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237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238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238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6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</sheetData>
  <mergeCells count="118">
    <mergeCell ref="M10:M12"/>
    <mergeCell ref="P2:P3"/>
    <mergeCell ref="O10:P10"/>
    <mergeCell ref="B11:J12"/>
    <mergeCell ref="O11:P11"/>
    <mergeCell ref="O12:P12"/>
    <mergeCell ref="C13:D13"/>
    <mergeCell ref="E13:F13"/>
    <mergeCell ref="G13:H13"/>
    <mergeCell ref="I13:J13"/>
    <mergeCell ref="O13:P13"/>
    <mergeCell ref="B3:B4"/>
    <mergeCell ref="M2:O3"/>
    <mergeCell ref="M4:M6"/>
    <mergeCell ref="O4:P4"/>
    <mergeCell ref="O5:P5"/>
    <mergeCell ref="O6:P6"/>
    <mergeCell ref="O7:P7"/>
    <mergeCell ref="O8:P8"/>
    <mergeCell ref="O9:P9"/>
    <mergeCell ref="C14:D14"/>
    <mergeCell ref="E14:F14"/>
    <mergeCell ref="G14:H14"/>
    <mergeCell ref="O14:P14"/>
    <mergeCell ref="C15:D15"/>
    <mergeCell ref="E15:F15"/>
    <mergeCell ref="G15:H15"/>
    <mergeCell ref="O15:P15"/>
    <mergeCell ref="I14:J15"/>
    <mergeCell ref="I18:J18"/>
    <mergeCell ref="I19:J19"/>
    <mergeCell ref="O17:P17"/>
    <mergeCell ref="C18:D18"/>
    <mergeCell ref="E18:F18"/>
    <mergeCell ref="G18:H18"/>
    <mergeCell ref="O18:P18"/>
    <mergeCell ref="C16:D16"/>
    <mergeCell ref="E16:F16"/>
    <mergeCell ref="G16:H16"/>
    <mergeCell ref="M16:M18"/>
    <mergeCell ref="O16:P16"/>
    <mergeCell ref="C17:D17"/>
    <mergeCell ref="E17:F17"/>
    <mergeCell ref="G17:H17"/>
    <mergeCell ref="I16:J17"/>
    <mergeCell ref="C19:D19"/>
    <mergeCell ref="E19:F19"/>
    <mergeCell ref="G19:H19"/>
    <mergeCell ref="O19:P19"/>
    <mergeCell ref="C20:D20"/>
    <mergeCell ref="E20:F20"/>
    <mergeCell ref="G20:H20"/>
    <mergeCell ref="O20:P20"/>
    <mergeCell ref="I20:J21"/>
    <mergeCell ref="O22:P22"/>
    <mergeCell ref="C23:D23"/>
    <mergeCell ref="E23:F23"/>
    <mergeCell ref="G23:H23"/>
    <mergeCell ref="O23:P23"/>
    <mergeCell ref="C21:D21"/>
    <mergeCell ref="E21:F21"/>
    <mergeCell ref="G21:H21"/>
    <mergeCell ref="O21:P21"/>
    <mergeCell ref="C22:D22"/>
    <mergeCell ref="E22:F22"/>
    <mergeCell ref="G22:H22"/>
    <mergeCell ref="M22:M25"/>
    <mergeCell ref="C24:D24"/>
    <mergeCell ref="E24:F24"/>
    <mergeCell ref="G24:H24"/>
    <mergeCell ref="O24:P24"/>
    <mergeCell ref="C25:D25"/>
    <mergeCell ref="E25:F25"/>
    <mergeCell ref="G25:H25"/>
    <mergeCell ref="O25:P25"/>
    <mergeCell ref="I24:J25"/>
    <mergeCell ref="I22:J22"/>
    <mergeCell ref="E28:F28"/>
    <mergeCell ref="G28:H28"/>
    <mergeCell ref="M28:M30"/>
    <mergeCell ref="O28:P28"/>
    <mergeCell ref="C29:D29"/>
    <mergeCell ref="E29:F29"/>
    <mergeCell ref="G29:H29"/>
    <mergeCell ref="I28:J29"/>
    <mergeCell ref="C26:D26"/>
    <mergeCell ref="E26:F26"/>
    <mergeCell ref="G26:H26"/>
    <mergeCell ref="O26:P26"/>
    <mergeCell ref="C27:D27"/>
    <mergeCell ref="E27:F27"/>
    <mergeCell ref="G27:H27"/>
    <mergeCell ref="O27:P27"/>
    <mergeCell ref="O29:P29"/>
    <mergeCell ref="I23:J23"/>
    <mergeCell ref="I26:J26"/>
    <mergeCell ref="I27:J27"/>
    <mergeCell ref="C28:D28"/>
    <mergeCell ref="I30:J30"/>
    <mergeCell ref="I31:J31"/>
    <mergeCell ref="I32:J32"/>
    <mergeCell ref="I33:J33"/>
    <mergeCell ref="O33:P33"/>
    <mergeCell ref="C31:D31"/>
    <mergeCell ref="E31:F31"/>
    <mergeCell ref="G31:H31"/>
    <mergeCell ref="O31:P31"/>
    <mergeCell ref="C32:D32"/>
    <mergeCell ref="E32:F32"/>
    <mergeCell ref="G32:H32"/>
    <mergeCell ref="O32:P32"/>
    <mergeCell ref="C33:D33"/>
    <mergeCell ref="E33:F33"/>
    <mergeCell ref="G33:H33"/>
    <mergeCell ref="C30:D30"/>
    <mergeCell ref="E30:F30"/>
    <mergeCell ref="G30:H30"/>
    <mergeCell ref="O30:P30"/>
  </mergeCells>
  <conditionalFormatting sqref="C4:H4">
    <cfRule type="expression" dxfId="47" priority="21" stopIfTrue="1">
      <formula>DAY(C4)&gt;8</formula>
    </cfRule>
  </conditionalFormatting>
  <conditionalFormatting sqref="C8:I10">
    <cfRule type="expression" dxfId="46" priority="20" stopIfTrue="1">
      <formula>AND(DAY(C8)&gt;=1,DAY(C8)&lt;=15)</formula>
    </cfRule>
  </conditionalFormatting>
  <conditionalFormatting sqref="C4:I9">
    <cfRule type="expression" dxfId="45" priority="22">
      <formula>VLOOKUP(DAY(C4),AssignmentDays,1,FALSE)=DAY(C4)</formula>
    </cfRule>
  </conditionalFormatting>
  <conditionalFormatting sqref="B14:I14 B15:C15 B16:I16 B17:H19 B22:H23 B26:H27 B30:H33 K14:L19 E15:H15 K22:L23 K26:L27 K30:L33">
    <cfRule type="expression" dxfId="44" priority="11">
      <formula>B14&lt;&gt;""</formula>
    </cfRule>
  </conditionalFormatting>
  <conditionalFormatting sqref="B20:I20 B21:H21 K20:L21">
    <cfRule type="expression" dxfId="43" priority="10">
      <formula>B20&lt;&gt;""</formula>
    </cfRule>
  </conditionalFormatting>
  <conditionalFormatting sqref="B24:H25 K24:L25">
    <cfRule type="expression" dxfId="42" priority="9">
      <formula>B24&lt;&gt;""</formula>
    </cfRule>
  </conditionalFormatting>
  <conditionalFormatting sqref="B28:H29 K28:L29">
    <cfRule type="expression" dxfId="41" priority="8">
      <formula>B28&lt;&gt;""</formula>
    </cfRule>
  </conditionalFormatting>
  <conditionalFormatting sqref="I18:J19">
    <cfRule type="expression" dxfId="40" priority="7">
      <formula>I18&lt;&gt;""</formula>
    </cfRule>
  </conditionalFormatting>
  <conditionalFormatting sqref="I22:J23">
    <cfRule type="expression" dxfId="39" priority="6">
      <formula>I22&lt;&gt;""</formula>
    </cfRule>
  </conditionalFormatting>
  <conditionalFormatting sqref="I24">
    <cfRule type="expression" dxfId="38" priority="5">
      <formula>I24&lt;&gt;""</formula>
    </cfRule>
  </conditionalFormatting>
  <conditionalFormatting sqref="I28">
    <cfRule type="expression" dxfId="37" priority="4">
      <formula>I28&lt;&gt;""</formula>
    </cfRule>
  </conditionalFormatting>
  <conditionalFormatting sqref="I26:J27">
    <cfRule type="expression" dxfId="36" priority="3">
      <formula>I26&lt;&gt;""</formula>
    </cfRule>
  </conditionalFormatting>
  <conditionalFormatting sqref="I30:J31">
    <cfRule type="expression" dxfId="35" priority="2">
      <formula>I30&lt;&gt;""</formula>
    </cfRule>
  </conditionalFormatting>
  <conditionalFormatting sqref="I32:J33">
    <cfRule type="expression" dxfId="34" priority="1">
      <formula>I32&lt;&gt;""</formula>
    </cfRule>
  </conditionalFormatting>
  <printOptions horizontalCentered="1" verticalCentered="1"/>
  <pageMargins left="0.5" right="0.5" top="0.5" bottom="0.5" header="0.3" footer="0.3"/>
  <pageSetup scale="91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6F501296-311F-5A44-9822-37750E3B148E}">
            <xm:f>AND(DAY(Jan!K8)&gt;=1,DAY(Jan!K8)&lt;=15)</xm:f>
            <x14:dxf>
              <font>
                <color theme="0" tint="-0.24994659260841701"/>
              </font>
            </x14:dxf>
          </x14:cfRule>
          <xm:sqref>K8:K10</xm:sqref>
        </x14:conditionalFormatting>
        <x14:conditionalFormatting xmlns:xm="http://schemas.microsoft.com/office/excel/2006/main">
          <x14:cfRule type="expression" priority="18" id="{9BB2957E-D92A-BA41-86F4-45D25F56B019}">
            <xm:f>VLOOKUP(DAY(Jan!K4),AssignmentDays,1,FALSE)=DAY(Jan!K4)</xm:f>
            <x14:dxf>
              <font>
                <b/>
                <i val="0"/>
                <color theme="1"/>
              </font>
              <fill>
                <patternFill patternType="solid"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K4:K9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1">
    <tabColor rgb="FFA26BB1"/>
    <pageSetUpPr fitToPage="1"/>
  </sheetPr>
  <dimension ref="A1:P33"/>
  <sheetViews>
    <sheetView showGridLines="0" workbookViewId="0">
      <selection activeCell="M4" sqref="M4:M30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1.14062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style="1" customWidth="1"/>
    <col min="18" max="16384" width="8.7109375" style="1"/>
  </cols>
  <sheetData>
    <row r="1" spans="1:16" ht="11.25" customHeight="1"/>
    <row r="2" spans="1:16" ht="18" customHeight="1">
      <c r="A2" s="3"/>
      <c r="B2" s="22"/>
      <c r="C2" s="13"/>
      <c r="D2" s="13"/>
      <c r="E2" s="13"/>
      <c r="F2" s="13"/>
      <c r="G2" s="13"/>
      <c r="H2" s="13"/>
      <c r="I2" s="13"/>
      <c r="J2" s="14"/>
      <c r="K2" s="13"/>
      <c r="L2" s="14"/>
      <c r="M2" s="247" t="s">
        <v>23</v>
      </c>
      <c r="N2" s="248">
        <v>2013</v>
      </c>
      <c r="O2" s="248"/>
      <c r="P2" s="239">
        <f>CalendarYear</f>
        <v>2020</v>
      </c>
    </row>
    <row r="3" spans="1:16" ht="21" customHeight="1">
      <c r="A3" s="3"/>
      <c r="B3" s="246" t="s">
        <v>21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4"/>
      <c r="K3" s="2"/>
      <c r="L3" s="4"/>
      <c r="M3" s="249"/>
      <c r="N3" s="250"/>
      <c r="O3" s="250"/>
      <c r="P3" s="240"/>
    </row>
    <row r="4" spans="1:16" ht="18" customHeight="1">
      <c r="A4" s="3"/>
      <c r="B4" s="246"/>
      <c r="C4" s="5">
        <f>IF(DAY(NovSun1)=1,NovSun1-6,NovSun1+1)</f>
        <v>44136</v>
      </c>
      <c r="D4" s="5">
        <f>IF(DAY(NovSun1)=1,NovSun1-5,NovSun1+2)</f>
        <v>44137</v>
      </c>
      <c r="E4" s="5">
        <f>IF(DAY(NovSun1)=1,NovSun1-4,NovSun1+3)</f>
        <v>44138</v>
      </c>
      <c r="F4" s="5">
        <f>IF(DAY(NovSun1)=1,NovSun1-3,NovSun1+4)</f>
        <v>44139</v>
      </c>
      <c r="G4" s="5">
        <f>IF(DAY(NovSun1)=1,NovSun1-2,NovSun1+5)</f>
        <v>44140</v>
      </c>
      <c r="H4" s="5">
        <f>IF(DAY(NovSun1)=1,NovSun1-1,NovSun1+6)</f>
        <v>44141</v>
      </c>
      <c r="I4" s="5">
        <f>IF(DAY(NovSun1)=1,NovSun1,NovSun1+7)</f>
        <v>44142</v>
      </c>
      <c r="J4" s="4"/>
      <c r="K4" s="5"/>
      <c r="L4" s="4"/>
      <c r="M4" s="251" t="s">
        <v>26</v>
      </c>
      <c r="N4" s="8"/>
      <c r="O4" s="197"/>
      <c r="P4" s="198"/>
    </row>
    <row r="5" spans="1:16" ht="18" customHeight="1">
      <c r="A5" s="3"/>
      <c r="B5" s="20"/>
      <c r="C5" s="5">
        <f>IF(DAY(NovSun1)=1,NovSun1+1,NovSun1+8)</f>
        <v>44143</v>
      </c>
      <c r="D5" s="5">
        <f>IF(DAY(NovSun1)=1,NovSun1+2,NovSun1+9)</f>
        <v>44144</v>
      </c>
      <c r="E5" s="5">
        <f>IF(DAY(NovSun1)=1,NovSun1+3,NovSun1+10)</f>
        <v>44145</v>
      </c>
      <c r="F5" s="5">
        <f>IF(DAY(NovSun1)=1,NovSun1+4,NovSun1+11)</f>
        <v>44146</v>
      </c>
      <c r="G5" s="5">
        <f>IF(DAY(NovSun1)=1,NovSun1+5,NovSun1+12)</f>
        <v>44147</v>
      </c>
      <c r="H5" s="5">
        <f>IF(DAY(NovSun1)=1,NovSun1+6,NovSun1+13)</f>
        <v>44148</v>
      </c>
      <c r="I5" s="5">
        <f>IF(DAY(NovSun1)=1,NovSun1+7,NovSun1+14)</f>
        <v>44149</v>
      </c>
      <c r="J5" s="4"/>
      <c r="K5" s="5"/>
      <c r="L5" s="4"/>
      <c r="M5" s="238"/>
      <c r="N5" s="9"/>
      <c r="O5" s="159"/>
      <c r="P5" s="160"/>
    </row>
    <row r="6" spans="1:16" ht="18" customHeight="1">
      <c r="A6" s="3"/>
      <c r="B6" s="20"/>
      <c r="C6" s="5">
        <f>IF(DAY(NovSun1)=1,NovSun1+8,NovSun1+15)</f>
        <v>44150</v>
      </c>
      <c r="D6" s="5">
        <f>IF(DAY(NovSun1)=1,NovSun1+9,NovSun1+16)</f>
        <v>44151</v>
      </c>
      <c r="E6" s="5">
        <f>IF(DAY(NovSun1)=1,NovSun1+10,NovSun1+17)</f>
        <v>44152</v>
      </c>
      <c r="F6" s="5">
        <f>IF(DAY(NovSun1)=1,NovSun1+11,NovSun1+18)</f>
        <v>44153</v>
      </c>
      <c r="G6" s="5">
        <f>IF(DAY(NovSun1)=1,NovSun1+12,NovSun1+19)</f>
        <v>44154</v>
      </c>
      <c r="H6" s="5">
        <f>IF(DAY(NovSun1)=1,NovSun1+13,NovSun1+20)</f>
        <v>44155</v>
      </c>
      <c r="I6" s="5">
        <f>IF(DAY(NovSun1)=1,NovSun1+14,NovSun1+21)</f>
        <v>44156</v>
      </c>
      <c r="J6" s="4"/>
      <c r="K6" s="5"/>
      <c r="L6" s="4"/>
      <c r="M6" s="238"/>
      <c r="N6" s="9"/>
      <c r="O6" s="159"/>
      <c r="P6" s="160"/>
    </row>
    <row r="7" spans="1:16" ht="18" customHeight="1">
      <c r="A7" s="3"/>
      <c r="B7" s="20"/>
      <c r="C7" s="5">
        <f>IF(DAY(NovSun1)=1,NovSun1+15,NovSun1+22)</f>
        <v>44157</v>
      </c>
      <c r="D7" s="5">
        <f>IF(DAY(NovSun1)=1,NovSun1+16,NovSun1+23)</f>
        <v>44158</v>
      </c>
      <c r="E7" s="5">
        <f>IF(DAY(NovSun1)=1,NovSun1+17,NovSun1+24)</f>
        <v>44159</v>
      </c>
      <c r="F7" s="5">
        <f>IF(DAY(NovSun1)=1,NovSun1+18,NovSun1+25)</f>
        <v>44160</v>
      </c>
      <c r="G7" s="5">
        <f>IF(DAY(NovSun1)=1,NovSun1+19,NovSun1+26)</f>
        <v>44161</v>
      </c>
      <c r="H7" s="5">
        <f>IF(DAY(NovSun1)=1,NovSun1+20,NovSun1+27)</f>
        <v>44162</v>
      </c>
      <c r="I7" s="5">
        <f>IF(DAY(NovSun1)=1,NovSun1+21,NovSun1+28)</f>
        <v>44163</v>
      </c>
      <c r="J7" s="4"/>
      <c r="K7" s="5"/>
      <c r="L7" s="4"/>
      <c r="M7" s="124"/>
      <c r="N7" s="9"/>
      <c r="O7" s="159"/>
      <c r="P7" s="160"/>
    </row>
    <row r="8" spans="1:16" ht="18.75" customHeight="1">
      <c r="A8" s="3"/>
      <c r="B8" s="20"/>
      <c r="C8" s="5">
        <f>IF(DAY(NovSun1)=1,NovSun1+22,NovSun1+29)</f>
        <v>44164</v>
      </c>
      <c r="D8" s="5">
        <f>IF(DAY(NovSun1)=1,NovSun1+23,NovSun1+30)</f>
        <v>44165</v>
      </c>
      <c r="E8" s="5">
        <f>IF(DAY(NovSun1)=1,NovSun1+24,NovSun1+31)</f>
        <v>44166</v>
      </c>
      <c r="F8" s="5">
        <f>IF(DAY(NovSun1)=1,NovSun1+25,NovSun1+32)</f>
        <v>44167</v>
      </c>
      <c r="G8" s="5">
        <f>IF(DAY(NovSun1)=1,NovSun1+26,NovSun1+33)</f>
        <v>44168</v>
      </c>
      <c r="H8" s="5">
        <f>IF(DAY(NovSun1)=1,NovSun1+27,NovSun1+34)</f>
        <v>44169</v>
      </c>
      <c r="I8" s="5">
        <f>IF(DAY(NovSun1)=1,NovSun1+28,NovSun1+35)</f>
        <v>44170</v>
      </c>
      <c r="J8" s="4"/>
      <c r="K8" s="5"/>
      <c r="L8" s="4"/>
      <c r="M8" s="124"/>
      <c r="N8" s="9"/>
      <c r="O8" s="159"/>
      <c r="P8" s="160"/>
    </row>
    <row r="9" spans="1:16" ht="18" customHeight="1">
      <c r="A9" s="3"/>
      <c r="B9" s="20"/>
      <c r="C9" s="5">
        <f>IF(DAY(NovSun1)=1,NovSun1+29,NovSun1+36)</f>
        <v>44171</v>
      </c>
      <c r="D9" s="5">
        <f>IF(DAY(NovSun1)=1,NovSun1+30,NovSun1+37)</f>
        <v>44172</v>
      </c>
      <c r="E9" s="5">
        <f>IF(DAY(NovSun1)=1,NovSun1+31,NovSun1+38)</f>
        <v>44173</v>
      </c>
      <c r="F9" s="5">
        <f>IF(DAY(NovSun1)=1,NovSun1+32,NovSun1+39)</f>
        <v>44174</v>
      </c>
      <c r="G9" s="5">
        <f>IF(DAY(NovSun1)=1,NovSun1+33,NovSun1+40)</f>
        <v>44175</v>
      </c>
      <c r="H9" s="5">
        <f>IF(DAY(NovSun1)=1,NovSun1+34,NovSun1+41)</f>
        <v>44176</v>
      </c>
      <c r="I9" s="5">
        <f>IF(DAY(NovSun1)=1,NovSun1+35,NovSun1+42)</f>
        <v>44177</v>
      </c>
      <c r="J9" s="4"/>
      <c r="K9" s="5"/>
      <c r="L9" s="4"/>
      <c r="M9" s="125"/>
      <c r="N9" s="10"/>
      <c r="O9" s="161"/>
      <c r="P9" s="162"/>
    </row>
    <row r="10" spans="1:16" ht="18" customHeight="1">
      <c r="A10" s="3"/>
      <c r="B10" s="21"/>
      <c r="C10" s="15"/>
      <c r="D10" s="15"/>
      <c r="E10" s="15"/>
      <c r="F10" s="15"/>
      <c r="G10" s="15"/>
      <c r="H10" s="15"/>
      <c r="I10" s="15"/>
      <c r="J10" s="16"/>
      <c r="K10" s="15"/>
      <c r="L10" s="16"/>
      <c r="M10" s="237" t="s">
        <v>28</v>
      </c>
      <c r="N10" s="8"/>
      <c r="O10" s="172"/>
      <c r="P10" s="173"/>
    </row>
    <row r="11" spans="1:16" ht="18" customHeight="1">
      <c r="A11" s="3"/>
      <c r="B11" s="241" t="s">
        <v>8</v>
      </c>
      <c r="C11" s="242"/>
      <c r="D11" s="242"/>
      <c r="E11" s="242"/>
      <c r="F11" s="242"/>
      <c r="G11" s="242"/>
      <c r="H11" s="242"/>
      <c r="I11" s="242"/>
      <c r="J11" s="243"/>
      <c r="K11" s="23"/>
      <c r="L11" s="23"/>
      <c r="M11" s="238"/>
      <c r="N11" s="9"/>
      <c r="O11" s="159"/>
      <c r="P11" s="160"/>
    </row>
    <row r="12" spans="1:16" ht="18" customHeight="1">
      <c r="A12" s="3"/>
      <c r="B12" s="241"/>
      <c r="C12" s="242"/>
      <c r="D12" s="242"/>
      <c r="E12" s="242"/>
      <c r="F12" s="242"/>
      <c r="G12" s="242"/>
      <c r="H12" s="242"/>
      <c r="I12" s="242"/>
      <c r="J12" s="243"/>
      <c r="K12" s="23"/>
      <c r="L12" s="23"/>
      <c r="M12" s="238"/>
      <c r="N12" s="9"/>
      <c r="O12" s="159"/>
      <c r="P12" s="160"/>
    </row>
    <row r="13" spans="1:16" ht="18" customHeight="1">
      <c r="B13" s="127" t="s">
        <v>25</v>
      </c>
      <c r="C13" s="244" t="s">
        <v>6</v>
      </c>
      <c r="D13" s="245"/>
      <c r="E13" s="244" t="s">
        <v>7</v>
      </c>
      <c r="F13" s="245"/>
      <c r="G13" s="244" t="s">
        <v>9</v>
      </c>
      <c r="H13" s="245"/>
      <c r="I13" s="244" t="s">
        <v>10</v>
      </c>
      <c r="J13" s="245"/>
      <c r="K13" s="128" t="s">
        <v>11</v>
      </c>
      <c r="L13" s="128" t="s">
        <v>24</v>
      </c>
      <c r="M13" s="124"/>
      <c r="N13" s="9"/>
      <c r="O13" s="159"/>
      <c r="P13" s="160"/>
    </row>
    <row r="14" spans="1:16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124"/>
      <c r="N14" s="9"/>
      <c r="O14" s="159"/>
      <c r="P14" s="160"/>
    </row>
    <row r="15" spans="1:16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126"/>
      <c r="N15" s="11"/>
      <c r="O15" s="161"/>
      <c r="P15" s="162"/>
    </row>
    <row r="16" spans="1:16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237" t="s">
        <v>29</v>
      </c>
      <c r="N16" s="8"/>
      <c r="O16" s="172"/>
      <c r="P16" s="173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238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238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124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124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126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237" t="s">
        <v>30</v>
      </c>
      <c r="N22" s="8"/>
      <c r="O22" s="172"/>
      <c r="P22" s="173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238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238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238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124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126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237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238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238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6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</sheetData>
  <mergeCells count="118">
    <mergeCell ref="M10:M12"/>
    <mergeCell ref="P2:P3"/>
    <mergeCell ref="O10:P10"/>
    <mergeCell ref="B11:J12"/>
    <mergeCell ref="O11:P11"/>
    <mergeCell ref="O12:P12"/>
    <mergeCell ref="C13:D13"/>
    <mergeCell ref="E13:F13"/>
    <mergeCell ref="G13:H13"/>
    <mergeCell ref="I13:J13"/>
    <mergeCell ref="O13:P13"/>
    <mergeCell ref="B3:B4"/>
    <mergeCell ref="M2:O3"/>
    <mergeCell ref="M4:M6"/>
    <mergeCell ref="O4:P4"/>
    <mergeCell ref="O5:P5"/>
    <mergeCell ref="O6:P6"/>
    <mergeCell ref="O7:P7"/>
    <mergeCell ref="O8:P8"/>
    <mergeCell ref="O9:P9"/>
    <mergeCell ref="C14:D14"/>
    <mergeCell ref="E14:F14"/>
    <mergeCell ref="G14:H14"/>
    <mergeCell ref="O14:P14"/>
    <mergeCell ref="C15:D15"/>
    <mergeCell ref="E15:F15"/>
    <mergeCell ref="G15:H15"/>
    <mergeCell ref="O15:P15"/>
    <mergeCell ref="I14:J15"/>
    <mergeCell ref="I18:J18"/>
    <mergeCell ref="I19:J19"/>
    <mergeCell ref="O17:P17"/>
    <mergeCell ref="C18:D18"/>
    <mergeCell ref="E18:F18"/>
    <mergeCell ref="G18:H18"/>
    <mergeCell ref="O18:P18"/>
    <mergeCell ref="C16:D16"/>
    <mergeCell ref="E16:F16"/>
    <mergeCell ref="G16:H16"/>
    <mergeCell ref="M16:M18"/>
    <mergeCell ref="O16:P16"/>
    <mergeCell ref="C17:D17"/>
    <mergeCell ref="E17:F17"/>
    <mergeCell ref="G17:H17"/>
    <mergeCell ref="I16:J17"/>
    <mergeCell ref="C19:D19"/>
    <mergeCell ref="E19:F19"/>
    <mergeCell ref="G19:H19"/>
    <mergeCell ref="O19:P19"/>
    <mergeCell ref="C20:D20"/>
    <mergeCell ref="E20:F20"/>
    <mergeCell ref="G20:H20"/>
    <mergeCell ref="O20:P20"/>
    <mergeCell ref="I20:J21"/>
    <mergeCell ref="O22:P22"/>
    <mergeCell ref="C23:D23"/>
    <mergeCell ref="E23:F23"/>
    <mergeCell ref="G23:H23"/>
    <mergeCell ref="O23:P23"/>
    <mergeCell ref="C21:D21"/>
    <mergeCell ref="E21:F21"/>
    <mergeCell ref="G21:H21"/>
    <mergeCell ref="O21:P21"/>
    <mergeCell ref="C22:D22"/>
    <mergeCell ref="E22:F22"/>
    <mergeCell ref="G22:H22"/>
    <mergeCell ref="M22:M25"/>
    <mergeCell ref="C24:D24"/>
    <mergeCell ref="E24:F24"/>
    <mergeCell ref="G24:H24"/>
    <mergeCell ref="O24:P24"/>
    <mergeCell ref="C25:D25"/>
    <mergeCell ref="E25:F25"/>
    <mergeCell ref="G25:H25"/>
    <mergeCell ref="O25:P25"/>
    <mergeCell ref="I24:J25"/>
    <mergeCell ref="I22:J22"/>
    <mergeCell ref="E28:F28"/>
    <mergeCell ref="G28:H28"/>
    <mergeCell ref="M28:M30"/>
    <mergeCell ref="O28:P28"/>
    <mergeCell ref="C29:D29"/>
    <mergeCell ref="E29:F29"/>
    <mergeCell ref="G29:H29"/>
    <mergeCell ref="I28:J29"/>
    <mergeCell ref="C26:D26"/>
    <mergeCell ref="E26:F26"/>
    <mergeCell ref="G26:H26"/>
    <mergeCell ref="O26:P26"/>
    <mergeCell ref="C27:D27"/>
    <mergeCell ref="E27:F27"/>
    <mergeCell ref="G27:H27"/>
    <mergeCell ref="O27:P27"/>
    <mergeCell ref="O29:P29"/>
    <mergeCell ref="I23:J23"/>
    <mergeCell ref="I26:J26"/>
    <mergeCell ref="I27:J27"/>
    <mergeCell ref="C28:D28"/>
    <mergeCell ref="I30:J30"/>
    <mergeCell ref="I31:J31"/>
    <mergeCell ref="I32:J32"/>
    <mergeCell ref="I33:J33"/>
    <mergeCell ref="O33:P33"/>
    <mergeCell ref="C31:D31"/>
    <mergeCell ref="E31:F31"/>
    <mergeCell ref="G31:H31"/>
    <mergeCell ref="O31:P31"/>
    <mergeCell ref="C32:D32"/>
    <mergeCell ref="E32:F32"/>
    <mergeCell ref="G32:H32"/>
    <mergeCell ref="O32:P32"/>
    <mergeCell ref="C33:D33"/>
    <mergeCell ref="E33:F33"/>
    <mergeCell ref="G33:H33"/>
    <mergeCell ref="C30:D30"/>
    <mergeCell ref="E30:F30"/>
    <mergeCell ref="G30:H30"/>
    <mergeCell ref="O30:P30"/>
  </mergeCells>
  <conditionalFormatting sqref="C4:H4">
    <cfRule type="expression" dxfId="31" priority="21" stopIfTrue="1">
      <formula>DAY(C4)&gt;8</formula>
    </cfRule>
  </conditionalFormatting>
  <conditionalFormatting sqref="C8:I10">
    <cfRule type="expression" dxfId="30" priority="20" stopIfTrue="1">
      <formula>AND(DAY(C8)&gt;=1,DAY(C8)&lt;=15)</formula>
    </cfRule>
  </conditionalFormatting>
  <conditionalFormatting sqref="C4:I9">
    <cfRule type="expression" dxfId="29" priority="22">
      <formula>VLOOKUP(DAY(C4),AssignmentDays,1,FALSE)=DAY(C4)</formula>
    </cfRule>
  </conditionalFormatting>
  <conditionalFormatting sqref="B14:I14 B15:C15 B16:I16 B17:H19 B22:H23 B26:H27 B30:H33 K14:L19 E15:H15 K22:L23 K26:L27 K30:L33">
    <cfRule type="expression" dxfId="28" priority="11">
      <formula>B14&lt;&gt;""</formula>
    </cfRule>
  </conditionalFormatting>
  <conditionalFormatting sqref="B20:I20 B21:H21 K20:L21">
    <cfRule type="expression" dxfId="27" priority="10">
      <formula>B20&lt;&gt;""</formula>
    </cfRule>
  </conditionalFormatting>
  <conditionalFormatting sqref="B24:H25 K24:L25">
    <cfRule type="expression" dxfId="26" priority="9">
      <formula>B24&lt;&gt;""</formula>
    </cfRule>
  </conditionalFormatting>
  <conditionalFormatting sqref="B28:H29 K28:L29">
    <cfRule type="expression" dxfId="25" priority="8">
      <formula>B28&lt;&gt;""</formula>
    </cfRule>
  </conditionalFormatting>
  <conditionalFormatting sqref="I18:J19">
    <cfRule type="expression" dxfId="24" priority="7">
      <formula>I18&lt;&gt;""</formula>
    </cfRule>
  </conditionalFormatting>
  <conditionalFormatting sqref="I22:J23">
    <cfRule type="expression" dxfId="23" priority="6">
      <formula>I22&lt;&gt;""</formula>
    </cfRule>
  </conditionalFormatting>
  <conditionalFormatting sqref="I24">
    <cfRule type="expression" dxfId="22" priority="5">
      <formula>I24&lt;&gt;""</formula>
    </cfRule>
  </conditionalFormatting>
  <conditionalFormatting sqref="I28">
    <cfRule type="expression" dxfId="21" priority="4">
      <formula>I28&lt;&gt;""</formula>
    </cfRule>
  </conditionalFormatting>
  <conditionalFormatting sqref="I26:J27">
    <cfRule type="expression" dxfId="20" priority="3">
      <formula>I26&lt;&gt;""</formula>
    </cfRule>
  </conditionalFormatting>
  <conditionalFormatting sqref="I30:J31">
    <cfRule type="expression" dxfId="19" priority="2">
      <formula>I30&lt;&gt;""</formula>
    </cfRule>
  </conditionalFormatting>
  <conditionalFormatting sqref="I32:J33">
    <cfRule type="expression" dxfId="18" priority="1">
      <formula>I32&lt;&gt;""</formula>
    </cfRule>
  </conditionalFormatting>
  <printOptions horizontalCentered="1" verticalCentered="1"/>
  <pageMargins left="0.5" right="0.5" top="0.5" bottom="0.5" header="0.3" footer="0.3"/>
  <pageSetup scale="91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E4A4C373-FF4D-844D-806A-A34A032ED968}">
            <xm:f>AND(DAY(Jan!K8)&gt;=1,DAY(Jan!K8)&lt;=15)</xm:f>
            <x14:dxf>
              <font>
                <color theme="0" tint="-0.24994659260841701"/>
              </font>
            </x14:dxf>
          </x14:cfRule>
          <xm:sqref>K8:K10</xm:sqref>
        </x14:conditionalFormatting>
        <x14:conditionalFormatting xmlns:xm="http://schemas.microsoft.com/office/excel/2006/main">
          <x14:cfRule type="expression" priority="18" id="{A61A5F50-DBFC-8641-AD7F-635B6EA1D953}">
            <xm:f>VLOOKUP(DAY(Jan!K4),AssignmentDays,1,FALSE)=DAY(Jan!K4)</xm:f>
            <x14:dxf>
              <font>
                <b/>
                <i val="0"/>
                <color theme="1"/>
              </font>
              <fill>
                <patternFill patternType="solid"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K4:K9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2">
    <tabColor rgb="FFA26BB1"/>
    <pageSetUpPr fitToPage="1"/>
  </sheetPr>
  <dimension ref="A1:P38"/>
  <sheetViews>
    <sheetView showGridLines="0" workbookViewId="0">
      <selection activeCell="O31" sqref="O31:P31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1.14062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style="1" customWidth="1"/>
    <col min="18" max="16384" width="8.7109375" style="1"/>
  </cols>
  <sheetData>
    <row r="1" spans="1:16" ht="11.25" customHeight="1"/>
    <row r="2" spans="1:16" ht="18" customHeight="1">
      <c r="A2" s="3"/>
      <c r="B2" s="22"/>
      <c r="C2" s="13"/>
      <c r="D2" s="13"/>
      <c r="E2" s="13"/>
      <c r="F2" s="13"/>
      <c r="G2" s="13"/>
      <c r="H2" s="13"/>
      <c r="I2" s="13"/>
      <c r="J2" s="14"/>
      <c r="K2" s="13"/>
      <c r="L2" s="14"/>
      <c r="M2" s="247" t="s">
        <v>23</v>
      </c>
      <c r="N2" s="248">
        <v>2013</v>
      </c>
      <c r="O2" s="248"/>
      <c r="P2" s="239">
        <f>CalendarYear</f>
        <v>2020</v>
      </c>
    </row>
    <row r="3" spans="1:16" ht="21" customHeight="1">
      <c r="A3" s="3"/>
      <c r="B3" s="246" t="s">
        <v>22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4"/>
      <c r="K3" s="2"/>
      <c r="L3" s="4"/>
      <c r="M3" s="249"/>
      <c r="N3" s="250"/>
      <c r="O3" s="250"/>
      <c r="P3" s="240"/>
    </row>
    <row r="4" spans="1:16" ht="18" customHeight="1">
      <c r="A4" s="3"/>
      <c r="B4" s="246"/>
      <c r="C4" s="5">
        <f>IF(DAY(DecSun1)=1,DecSun1-6,DecSun1+1)</f>
        <v>44164</v>
      </c>
      <c r="D4" s="5">
        <f>IF(DAY(DecSun1)=1,DecSun1-5,DecSun1+2)</f>
        <v>44165</v>
      </c>
      <c r="E4" s="5">
        <f>IF(DAY(DecSun1)=1,DecSun1-4,DecSun1+3)</f>
        <v>44166</v>
      </c>
      <c r="F4" s="5">
        <f>IF(DAY(DecSun1)=1,DecSun1-3,DecSun1+4)</f>
        <v>44167</v>
      </c>
      <c r="G4" s="5">
        <f>IF(DAY(DecSun1)=1,DecSun1-2,DecSun1+5)</f>
        <v>44168</v>
      </c>
      <c r="H4" s="5">
        <f>IF(DAY(DecSun1)=1,DecSun1-1,DecSun1+6)</f>
        <v>44169</v>
      </c>
      <c r="I4" s="5">
        <f>IF(DAY(DecSun1)=1,DecSun1,DecSun1+7)</f>
        <v>44170</v>
      </c>
      <c r="J4" s="4"/>
      <c r="K4" s="5"/>
      <c r="L4" s="4"/>
      <c r="M4" s="251" t="s">
        <v>26</v>
      </c>
      <c r="N4" s="8"/>
      <c r="O4" s="197"/>
      <c r="P4" s="198"/>
    </row>
    <row r="5" spans="1:16" ht="18" customHeight="1">
      <c r="A5" s="3"/>
      <c r="B5" s="20"/>
      <c r="C5" s="5">
        <f>IF(DAY(DecSun1)=1,DecSun1+1,DecSun1+8)</f>
        <v>44171</v>
      </c>
      <c r="D5" s="5">
        <f>IF(DAY(DecSun1)=1,DecSun1+2,DecSun1+9)</f>
        <v>44172</v>
      </c>
      <c r="E5" s="5">
        <f>IF(DAY(DecSun1)=1,DecSun1+3,DecSun1+10)</f>
        <v>44173</v>
      </c>
      <c r="F5" s="5">
        <f>IF(DAY(DecSun1)=1,DecSun1+4,DecSun1+11)</f>
        <v>44174</v>
      </c>
      <c r="G5" s="5">
        <f>IF(DAY(DecSun1)=1,DecSun1+5,DecSun1+12)</f>
        <v>44175</v>
      </c>
      <c r="H5" s="5">
        <f>IF(DAY(DecSun1)=1,DecSun1+6,DecSun1+13)</f>
        <v>44176</v>
      </c>
      <c r="I5" s="5">
        <f>IF(DAY(DecSun1)=1,DecSun1+7,DecSun1+14)</f>
        <v>44177</v>
      </c>
      <c r="J5" s="4"/>
      <c r="K5" s="5"/>
      <c r="L5" s="4"/>
      <c r="M5" s="238"/>
      <c r="N5" s="9"/>
      <c r="O5" s="159"/>
      <c r="P5" s="160"/>
    </row>
    <row r="6" spans="1:16" ht="18" customHeight="1">
      <c r="A6" s="3"/>
      <c r="B6" s="20"/>
      <c r="C6" s="5">
        <f>IF(DAY(DecSun1)=1,DecSun1+8,DecSun1+15)</f>
        <v>44178</v>
      </c>
      <c r="D6" s="5">
        <f>IF(DAY(DecSun1)=1,DecSun1+9,DecSun1+16)</f>
        <v>44179</v>
      </c>
      <c r="E6" s="5">
        <f>IF(DAY(DecSun1)=1,DecSun1+10,DecSun1+17)</f>
        <v>44180</v>
      </c>
      <c r="F6" s="5">
        <f>IF(DAY(DecSun1)=1,DecSun1+11,DecSun1+18)</f>
        <v>44181</v>
      </c>
      <c r="G6" s="5">
        <f>IF(DAY(DecSun1)=1,DecSun1+12,DecSun1+19)</f>
        <v>44182</v>
      </c>
      <c r="H6" s="5">
        <f>IF(DAY(DecSun1)=1,DecSun1+13,DecSun1+20)</f>
        <v>44183</v>
      </c>
      <c r="I6" s="5">
        <f>IF(DAY(DecSun1)=1,DecSun1+14,DecSun1+21)</f>
        <v>44184</v>
      </c>
      <c r="J6" s="4"/>
      <c r="K6" s="5"/>
      <c r="L6" s="4"/>
      <c r="M6" s="238"/>
      <c r="N6" s="9"/>
      <c r="O6" s="159"/>
      <c r="P6" s="160"/>
    </row>
    <row r="7" spans="1:16" ht="18" customHeight="1">
      <c r="A7" s="3"/>
      <c r="B7" s="20"/>
      <c r="C7" s="5">
        <f>IF(DAY(DecSun1)=1,DecSun1+15,DecSun1+22)</f>
        <v>44185</v>
      </c>
      <c r="D7" s="5">
        <f>IF(DAY(DecSun1)=1,DecSun1+16,DecSun1+23)</f>
        <v>44186</v>
      </c>
      <c r="E7" s="5">
        <f>IF(DAY(DecSun1)=1,DecSun1+17,DecSun1+24)</f>
        <v>44187</v>
      </c>
      <c r="F7" s="5">
        <f>IF(DAY(DecSun1)=1,DecSun1+18,DecSun1+25)</f>
        <v>44188</v>
      </c>
      <c r="G7" s="5">
        <f>IF(DAY(DecSun1)=1,DecSun1+19,DecSun1+26)</f>
        <v>44189</v>
      </c>
      <c r="H7" s="5">
        <f>IF(DAY(DecSun1)=1,DecSun1+20,DecSun1+27)</f>
        <v>44190</v>
      </c>
      <c r="I7" s="5">
        <f>IF(DAY(DecSun1)=1,DecSun1+21,DecSun1+28)</f>
        <v>44191</v>
      </c>
      <c r="J7" s="4"/>
      <c r="K7" s="5"/>
      <c r="L7" s="4"/>
      <c r="M7" s="124"/>
      <c r="N7" s="9"/>
      <c r="O7" s="159"/>
      <c r="P7" s="160"/>
    </row>
    <row r="8" spans="1:16" ht="18.75" customHeight="1">
      <c r="A8" s="3"/>
      <c r="B8" s="20"/>
      <c r="C8" s="5">
        <f>IF(DAY(DecSun1)=1,DecSun1+22,DecSun1+29)</f>
        <v>44192</v>
      </c>
      <c r="D8" s="5">
        <f>IF(DAY(DecSun1)=1,DecSun1+23,DecSun1+30)</f>
        <v>44193</v>
      </c>
      <c r="E8" s="5">
        <f>IF(DAY(DecSun1)=1,DecSun1+24,DecSun1+31)</f>
        <v>44194</v>
      </c>
      <c r="F8" s="5">
        <f>IF(DAY(DecSun1)=1,DecSun1+25,DecSun1+32)</f>
        <v>44195</v>
      </c>
      <c r="G8" s="5">
        <f>IF(DAY(DecSun1)=1,DecSun1+26,DecSun1+33)</f>
        <v>44196</v>
      </c>
      <c r="H8" s="5">
        <f>IF(DAY(DecSun1)=1,DecSun1+27,DecSun1+34)</f>
        <v>44197</v>
      </c>
      <c r="I8" s="5">
        <f>IF(DAY(DecSun1)=1,DecSun1+28,DecSun1+35)</f>
        <v>44198</v>
      </c>
      <c r="J8" s="4"/>
      <c r="K8" s="5"/>
      <c r="L8" s="4"/>
      <c r="M8" s="124"/>
      <c r="N8" s="9"/>
      <c r="O8" s="159"/>
      <c r="P8" s="160"/>
    </row>
    <row r="9" spans="1:16" ht="18" customHeight="1">
      <c r="A9" s="3"/>
      <c r="B9" s="20"/>
      <c r="C9" s="5">
        <f>IF(DAY(DecSun1)=1,DecSun1+29,DecSun1+36)</f>
        <v>44199</v>
      </c>
      <c r="D9" s="5">
        <f>IF(DAY(DecSun1)=1,DecSun1+30,DecSun1+37)</f>
        <v>44200</v>
      </c>
      <c r="E9" s="5">
        <f>IF(DAY(DecSun1)=1,DecSun1+31,DecSun1+38)</f>
        <v>44201</v>
      </c>
      <c r="F9" s="5">
        <f>IF(DAY(DecSun1)=1,DecSun1+32,DecSun1+39)</f>
        <v>44202</v>
      </c>
      <c r="G9" s="5">
        <f>IF(DAY(DecSun1)=1,DecSun1+33,DecSun1+40)</f>
        <v>44203</v>
      </c>
      <c r="H9" s="5">
        <f>IF(DAY(DecSun1)=1,DecSun1+34,DecSun1+41)</f>
        <v>44204</v>
      </c>
      <c r="I9" s="5">
        <f>IF(DAY(DecSun1)=1,DecSun1+35,DecSun1+42)</f>
        <v>44205</v>
      </c>
      <c r="J9" s="4"/>
      <c r="K9" s="5"/>
      <c r="L9" s="4"/>
      <c r="M9" s="125"/>
      <c r="N9" s="10"/>
      <c r="O9" s="161"/>
      <c r="P9" s="162"/>
    </row>
    <row r="10" spans="1:16" ht="18" customHeight="1">
      <c r="A10" s="3"/>
      <c r="B10" s="21"/>
      <c r="C10" s="15"/>
      <c r="D10" s="15"/>
      <c r="E10" s="15"/>
      <c r="F10" s="15"/>
      <c r="G10" s="15"/>
      <c r="H10" s="15"/>
      <c r="I10" s="15"/>
      <c r="J10" s="16"/>
      <c r="K10" s="15"/>
      <c r="L10" s="16"/>
      <c r="M10" s="237" t="s">
        <v>28</v>
      </c>
      <c r="N10" s="8"/>
      <c r="O10" s="172"/>
      <c r="P10" s="173"/>
    </row>
    <row r="11" spans="1:16" ht="18" customHeight="1">
      <c r="A11" s="3"/>
      <c r="B11" s="241" t="s">
        <v>8</v>
      </c>
      <c r="C11" s="242"/>
      <c r="D11" s="242"/>
      <c r="E11" s="242"/>
      <c r="F11" s="242"/>
      <c r="G11" s="242"/>
      <c r="H11" s="242"/>
      <c r="I11" s="242"/>
      <c r="J11" s="243"/>
      <c r="K11" s="23"/>
      <c r="L11" s="23"/>
      <c r="M11" s="238"/>
      <c r="N11" s="9"/>
      <c r="O11" s="159"/>
      <c r="P11" s="160"/>
    </row>
    <row r="12" spans="1:16" ht="18" customHeight="1">
      <c r="A12" s="3"/>
      <c r="B12" s="241"/>
      <c r="C12" s="242"/>
      <c r="D12" s="242"/>
      <c r="E12" s="242"/>
      <c r="F12" s="242"/>
      <c r="G12" s="242"/>
      <c r="H12" s="242"/>
      <c r="I12" s="242"/>
      <c r="J12" s="243"/>
      <c r="K12" s="23"/>
      <c r="L12" s="23"/>
      <c r="M12" s="238"/>
      <c r="N12" s="9"/>
      <c r="O12" s="159"/>
      <c r="P12" s="160"/>
    </row>
    <row r="13" spans="1:16" ht="18" customHeight="1">
      <c r="B13" s="127" t="s">
        <v>25</v>
      </c>
      <c r="C13" s="244" t="s">
        <v>6</v>
      </c>
      <c r="D13" s="245"/>
      <c r="E13" s="244" t="s">
        <v>7</v>
      </c>
      <c r="F13" s="245"/>
      <c r="G13" s="244" t="s">
        <v>9</v>
      </c>
      <c r="H13" s="245"/>
      <c r="I13" s="244" t="s">
        <v>10</v>
      </c>
      <c r="J13" s="245"/>
      <c r="K13" s="128" t="s">
        <v>11</v>
      </c>
      <c r="L13" s="128" t="s">
        <v>24</v>
      </c>
      <c r="M13" s="124"/>
      <c r="N13" s="9"/>
      <c r="O13" s="159"/>
      <c r="P13" s="160"/>
    </row>
    <row r="14" spans="1:16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124"/>
      <c r="N14" s="9"/>
      <c r="O14" s="159"/>
      <c r="P14" s="160"/>
    </row>
    <row r="15" spans="1:16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126"/>
      <c r="N15" s="11"/>
      <c r="O15" s="161"/>
      <c r="P15" s="162"/>
    </row>
    <row r="16" spans="1:16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237" t="s">
        <v>29</v>
      </c>
      <c r="N16" s="8"/>
      <c r="O16" s="172"/>
      <c r="P16" s="173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238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238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124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124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126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237" t="s">
        <v>30</v>
      </c>
      <c r="N22" s="8"/>
      <c r="O22" s="172"/>
      <c r="P22" s="173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238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238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238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124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126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237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238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238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6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  <row r="38" spans="2:16" ht="16.5" customHeight="1">
      <c r="I38" s="62"/>
    </row>
  </sheetData>
  <mergeCells count="118">
    <mergeCell ref="M10:M12"/>
    <mergeCell ref="P2:P3"/>
    <mergeCell ref="O10:P10"/>
    <mergeCell ref="B11:J12"/>
    <mergeCell ref="O11:P11"/>
    <mergeCell ref="O12:P12"/>
    <mergeCell ref="C13:D13"/>
    <mergeCell ref="E13:F13"/>
    <mergeCell ref="G13:H13"/>
    <mergeCell ref="I13:J13"/>
    <mergeCell ref="O13:P13"/>
    <mergeCell ref="B3:B4"/>
    <mergeCell ref="M2:O3"/>
    <mergeCell ref="M4:M6"/>
    <mergeCell ref="O4:P4"/>
    <mergeCell ref="O5:P5"/>
    <mergeCell ref="O6:P6"/>
    <mergeCell ref="O7:P7"/>
    <mergeCell ref="O8:P8"/>
    <mergeCell ref="O9:P9"/>
    <mergeCell ref="C14:D14"/>
    <mergeCell ref="E14:F14"/>
    <mergeCell ref="G14:H14"/>
    <mergeCell ref="O14:P14"/>
    <mergeCell ref="C15:D15"/>
    <mergeCell ref="E15:F15"/>
    <mergeCell ref="G15:H15"/>
    <mergeCell ref="O15:P15"/>
    <mergeCell ref="I14:J15"/>
    <mergeCell ref="I18:J18"/>
    <mergeCell ref="I19:J19"/>
    <mergeCell ref="O17:P17"/>
    <mergeCell ref="C18:D18"/>
    <mergeCell ref="E18:F18"/>
    <mergeCell ref="G18:H18"/>
    <mergeCell ref="O18:P18"/>
    <mergeCell ref="C16:D16"/>
    <mergeCell ref="E16:F16"/>
    <mergeCell ref="G16:H16"/>
    <mergeCell ref="M16:M18"/>
    <mergeCell ref="O16:P16"/>
    <mergeCell ref="C17:D17"/>
    <mergeCell ref="E17:F17"/>
    <mergeCell ref="G17:H17"/>
    <mergeCell ref="I16:J17"/>
    <mergeCell ref="C19:D19"/>
    <mergeCell ref="E19:F19"/>
    <mergeCell ref="G19:H19"/>
    <mergeCell ref="O19:P19"/>
    <mergeCell ref="C20:D20"/>
    <mergeCell ref="E20:F20"/>
    <mergeCell ref="G20:H20"/>
    <mergeCell ref="O20:P20"/>
    <mergeCell ref="I20:J21"/>
    <mergeCell ref="O22:P22"/>
    <mergeCell ref="C23:D23"/>
    <mergeCell ref="E23:F23"/>
    <mergeCell ref="G23:H23"/>
    <mergeCell ref="O23:P23"/>
    <mergeCell ref="C21:D21"/>
    <mergeCell ref="E21:F21"/>
    <mergeCell ref="G21:H21"/>
    <mergeCell ref="O21:P21"/>
    <mergeCell ref="C22:D22"/>
    <mergeCell ref="E22:F22"/>
    <mergeCell ref="G22:H22"/>
    <mergeCell ref="M22:M25"/>
    <mergeCell ref="C24:D24"/>
    <mergeCell ref="E24:F24"/>
    <mergeCell ref="G24:H24"/>
    <mergeCell ref="O24:P24"/>
    <mergeCell ref="C25:D25"/>
    <mergeCell ref="E25:F25"/>
    <mergeCell ref="G25:H25"/>
    <mergeCell ref="O25:P25"/>
    <mergeCell ref="I24:J25"/>
    <mergeCell ref="I22:J22"/>
    <mergeCell ref="E28:F28"/>
    <mergeCell ref="G28:H28"/>
    <mergeCell ref="M28:M30"/>
    <mergeCell ref="O28:P28"/>
    <mergeCell ref="C29:D29"/>
    <mergeCell ref="E29:F29"/>
    <mergeCell ref="G29:H29"/>
    <mergeCell ref="I28:J29"/>
    <mergeCell ref="C26:D26"/>
    <mergeCell ref="E26:F26"/>
    <mergeCell ref="G26:H26"/>
    <mergeCell ref="O26:P26"/>
    <mergeCell ref="C27:D27"/>
    <mergeCell ref="E27:F27"/>
    <mergeCell ref="G27:H27"/>
    <mergeCell ref="O27:P27"/>
    <mergeCell ref="O29:P29"/>
    <mergeCell ref="I23:J23"/>
    <mergeCell ref="I26:J26"/>
    <mergeCell ref="I27:J27"/>
    <mergeCell ref="C28:D28"/>
    <mergeCell ref="I30:J30"/>
    <mergeCell ref="I31:J31"/>
    <mergeCell ref="I32:J32"/>
    <mergeCell ref="I33:J33"/>
    <mergeCell ref="O33:P33"/>
    <mergeCell ref="C31:D31"/>
    <mergeCell ref="E31:F31"/>
    <mergeCell ref="G31:H31"/>
    <mergeCell ref="O31:P31"/>
    <mergeCell ref="C32:D32"/>
    <mergeCell ref="E32:F32"/>
    <mergeCell ref="G32:H32"/>
    <mergeCell ref="O32:P32"/>
    <mergeCell ref="C33:D33"/>
    <mergeCell ref="E33:F33"/>
    <mergeCell ref="G33:H33"/>
    <mergeCell ref="C30:D30"/>
    <mergeCell ref="E30:F30"/>
    <mergeCell ref="G30:H30"/>
    <mergeCell ref="O30:P30"/>
  </mergeCells>
  <conditionalFormatting sqref="C4:H4">
    <cfRule type="expression" dxfId="15" priority="21" stopIfTrue="1">
      <formula>DAY(C4)&gt;8</formula>
    </cfRule>
  </conditionalFormatting>
  <conditionalFormatting sqref="C8:I10">
    <cfRule type="expression" dxfId="14" priority="20" stopIfTrue="1">
      <formula>AND(DAY(C8)&gt;=1,DAY(C8)&lt;=15)</formula>
    </cfRule>
  </conditionalFormatting>
  <conditionalFormatting sqref="C4:I9">
    <cfRule type="expression" dxfId="13" priority="22">
      <formula>VLOOKUP(DAY(C4),AssignmentDays,1,FALSE)=DAY(C4)</formula>
    </cfRule>
  </conditionalFormatting>
  <conditionalFormatting sqref="B14:I14 B15:C15 B16:I16 B17:H19 B22:H23 B26:H27 B30:H33 K14:L19 E15:H15 K22:L23 K26:L27 K30:L33">
    <cfRule type="expression" dxfId="12" priority="11">
      <formula>B14&lt;&gt;""</formula>
    </cfRule>
  </conditionalFormatting>
  <conditionalFormatting sqref="B20:I20 B21:H21 K20:L21">
    <cfRule type="expression" dxfId="11" priority="10">
      <formula>B20&lt;&gt;""</formula>
    </cfRule>
  </conditionalFormatting>
  <conditionalFormatting sqref="B24:H25 K24:L25">
    <cfRule type="expression" dxfId="10" priority="9">
      <formula>B24&lt;&gt;""</formula>
    </cfRule>
  </conditionalFormatting>
  <conditionalFormatting sqref="B28:H29 K28:L29">
    <cfRule type="expression" dxfId="9" priority="8">
      <formula>B28&lt;&gt;""</formula>
    </cfRule>
  </conditionalFormatting>
  <conditionalFormatting sqref="I18:J19">
    <cfRule type="expression" dxfId="8" priority="7">
      <formula>I18&lt;&gt;""</formula>
    </cfRule>
  </conditionalFormatting>
  <conditionalFormatting sqref="I22:J23">
    <cfRule type="expression" dxfId="7" priority="6">
      <formula>I22&lt;&gt;""</formula>
    </cfRule>
  </conditionalFormatting>
  <conditionalFormatting sqref="I24">
    <cfRule type="expression" dxfId="6" priority="5">
      <formula>I24&lt;&gt;""</formula>
    </cfRule>
  </conditionalFormatting>
  <conditionalFormatting sqref="I28">
    <cfRule type="expression" dxfId="5" priority="4">
      <formula>I28&lt;&gt;""</formula>
    </cfRule>
  </conditionalFormatting>
  <conditionalFormatting sqref="I26:J27">
    <cfRule type="expression" dxfId="4" priority="3">
      <formula>I26&lt;&gt;""</formula>
    </cfRule>
  </conditionalFormatting>
  <conditionalFormatting sqref="I30:J31">
    <cfRule type="expression" dxfId="3" priority="2">
      <formula>I30&lt;&gt;""</formula>
    </cfRule>
  </conditionalFormatting>
  <conditionalFormatting sqref="I32:J33">
    <cfRule type="expression" dxfId="2" priority="1">
      <formula>I32&lt;&gt;""</formula>
    </cfRule>
  </conditionalFormatting>
  <printOptions horizontalCentered="1" verticalCentered="1"/>
  <pageMargins left="0.5" right="0.5" top="0.5" bottom="0.5" header="0.3" footer="0.3"/>
  <pageSetup scale="91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D4539344-7136-2348-BF7E-9C71E9189AEC}">
            <xm:f>AND(DAY(Jan!K8)&gt;=1,DAY(Jan!K8)&lt;=15)</xm:f>
            <x14:dxf>
              <font>
                <color theme="0" tint="-0.24994659260841701"/>
              </font>
            </x14:dxf>
          </x14:cfRule>
          <xm:sqref>K8:K10</xm:sqref>
        </x14:conditionalFormatting>
        <x14:conditionalFormatting xmlns:xm="http://schemas.microsoft.com/office/excel/2006/main">
          <x14:cfRule type="expression" priority="18" id="{18917FAD-267C-0C4E-9F12-1B7730F86B76}">
            <xm:f>VLOOKUP(DAY(Jan!K4),AssignmentDays,1,FALSE)=DAY(Jan!K4)</xm:f>
            <x14:dxf>
              <font>
                <b/>
                <i val="0"/>
                <color theme="1"/>
              </font>
              <fill>
                <patternFill patternType="solid"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K4:K9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0"/>
  <sheetViews>
    <sheetView workbookViewId="0">
      <selection activeCell="A3" sqref="A3:B3"/>
    </sheetView>
  </sheetViews>
  <sheetFormatPr defaultColWidth="10.85546875" defaultRowHeight="12.75"/>
  <cols>
    <col min="1" max="1" width="12.140625" style="41" bestFit="1" customWidth="1"/>
    <col min="2" max="2" width="15.42578125" style="41" customWidth="1"/>
    <col min="3" max="3" width="27.28515625" style="41" customWidth="1"/>
    <col min="4" max="4" width="10.42578125" style="41" bestFit="1" customWidth="1"/>
    <col min="5" max="5" width="30.7109375" style="41" customWidth="1"/>
    <col min="6" max="8" width="10.85546875" style="26"/>
    <col min="9" max="9" width="21.85546875" style="26" customWidth="1"/>
    <col min="10" max="10" width="10.85546875" style="26"/>
    <col min="11" max="11" width="28" style="26" customWidth="1"/>
    <col min="12" max="14" width="10.85546875" style="26"/>
    <col min="15" max="15" width="31" style="26" customWidth="1"/>
    <col min="16" max="16" width="10.85546875" style="26" customWidth="1"/>
    <col min="17" max="17" width="28.7109375" style="26" customWidth="1"/>
    <col min="18" max="18" width="10.85546875" style="26"/>
    <col min="19" max="19" width="10.85546875" style="26" customWidth="1"/>
    <col min="20" max="21" width="21.85546875" style="26" customWidth="1"/>
    <col min="22" max="22" width="10.85546875" style="26"/>
    <col min="23" max="23" width="21.7109375" style="26" customWidth="1"/>
    <col min="24" max="24" width="10.85546875" style="26"/>
    <col min="25" max="25" width="10.85546875" style="26" customWidth="1"/>
    <col min="26" max="16384" width="10.85546875" style="26"/>
  </cols>
  <sheetData>
    <row r="1" spans="1:23">
      <c r="A1" s="40"/>
      <c r="D1" s="42"/>
      <c r="E1" s="42"/>
    </row>
    <row r="2" spans="1:23" ht="23.25">
      <c r="A2" s="40"/>
      <c r="C2" s="141"/>
      <c r="D2" s="141"/>
      <c r="E2" s="141"/>
      <c r="F2" s="142"/>
      <c r="G2" s="142"/>
      <c r="H2" s="142"/>
      <c r="I2" s="142"/>
      <c r="J2" s="142"/>
    </row>
    <row r="3" spans="1:23" ht="30.95" customHeight="1">
      <c r="A3" s="140" t="s">
        <v>82</v>
      </c>
      <c r="B3" s="140"/>
      <c r="C3" s="44">
        <f>D10+J22+J10+P10+V10</f>
        <v>0</v>
      </c>
      <c r="D3" s="43"/>
      <c r="E3" s="43"/>
      <c r="F3" s="143"/>
      <c r="G3" s="143"/>
      <c r="H3" s="143"/>
      <c r="I3" s="143"/>
      <c r="J3" s="143"/>
      <c r="K3" s="143"/>
    </row>
    <row r="4" spans="1:23" ht="54" customHeight="1">
      <c r="A4" s="93" t="s">
        <v>61</v>
      </c>
      <c r="D4" s="45"/>
      <c r="E4" s="45"/>
      <c r="G4" s="95" t="s">
        <v>62</v>
      </c>
      <c r="M4" s="99" t="s">
        <v>63</v>
      </c>
      <c r="S4" s="101" t="s">
        <v>64</v>
      </c>
    </row>
    <row r="5" spans="1:23" ht="14.1" customHeight="1">
      <c r="A5" s="56" t="s">
        <v>56</v>
      </c>
      <c r="B5" s="56" t="s">
        <v>57</v>
      </c>
      <c r="C5" s="56" t="s">
        <v>58</v>
      </c>
      <c r="D5" s="56" t="s">
        <v>59</v>
      </c>
      <c r="E5" s="56" t="s">
        <v>60</v>
      </c>
      <c r="G5" s="94" t="s">
        <v>56</v>
      </c>
      <c r="H5" s="94" t="s">
        <v>57</v>
      </c>
      <c r="I5" s="94" t="s">
        <v>58</v>
      </c>
      <c r="J5" s="94" t="s">
        <v>59</v>
      </c>
      <c r="K5" s="94" t="s">
        <v>60</v>
      </c>
      <c r="M5" s="98" t="s">
        <v>56</v>
      </c>
      <c r="N5" s="98" t="s">
        <v>57</v>
      </c>
      <c r="O5" s="98" t="s">
        <v>58</v>
      </c>
      <c r="P5" s="98" t="s">
        <v>59</v>
      </c>
      <c r="Q5" s="98" t="s">
        <v>60</v>
      </c>
      <c r="S5" s="102" t="s">
        <v>56</v>
      </c>
      <c r="T5" s="102" t="s">
        <v>57</v>
      </c>
      <c r="U5" s="102" t="s">
        <v>58</v>
      </c>
      <c r="V5" s="102" t="s">
        <v>59</v>
      </c>
      <c r="W5" s="102" t="s">
        <v>60</v>
      </c>
    </row>
    <row r="6" spans="1:23" s="50" customFormat="1">
      <c r="A6" s="46"/>
      <c r="B6" s="46"/>
      <c r="C6" s="47"/>
      <c r="D6" s="48"/>
      <c r="E6" s="49"/>
      <c r="G6" s="46"/>
      <c r="H6" s="46"/>
      <c r="I6" s="53"/>
      <c r="J6" s="48"/>
      <c r="K6" s="49"/>
      <c r="L6" s="51"/>
      <c r="M6" s="46"/>
      <c r="N6" s="46"/>
      <c r="O6" s="47"/>
      <c r="P6" s="48"/>
      <c r="Q6" s="49"/>
      <c r="S6" s="46"/>
      <c r="T6" s="46"/>
      <c r="U6" s="47"/>
      <c r="V6" s="48"/>
      <c r="W6" s="49"/>
    </row>
    <row r="7" spans="1:23" s="50" customFormat="1">
      <c r="A7" s="46"/>
      <c r="B7" s="46"/>
      <c r="C7" s="47"/>
      <c r="D7" s="48"/>
      <c r="E7" s="49"/>
      <c r="G7" s="46"/>
      <c r="H7" s="46"/>
      <c r="I7" s="47"/>
      <c r="J7" s="52"/>
      <c r="K7" s="49"/>
      <c r="M7" s="46"/>
      <c r="N7" s="46"/>
      <c r="O7" s="47"/>
      <c r="P7" s="52"/>
      <c r="Q7" s="49"/>
      <c r="S7" s="46"/>
      <c r="T7" s="46"/>
      <c r="U7" s="47"/>
      <c r="V7" s="48"/>
      <c r="W7" s="49"/>
    </row>
    <row r="8" spans="1:23" s="50" customFormat="1">
      <c r="A8" s="46"/>
      <c r="B8" s="46"/>
      <c r="C8" s="47"/>
      <c r="D8" s="48"/>
      <c r="E8" s="49"/>
      <c r="G8" s="46"/>
      <c r="H8" s="46"/>
      <c r="I8" s="47"/>
      <c r="J8" s="48"/>
      <c r="K8" s="49"/>
      <c r="M8" s="46"/>
      <c r="N8" s="46"/>
      <c r="O8" s="47"/>
      <c r="P8" s="48"/>
      <c r="Q8" s="49"/>
      <c r="S8" s="46"/>
      <c r="T8" s="46"/>
      <c r="U8" s="47"/>
      <c r="V8" s="48"/>
      <c r="W8" s="49"/>
    </row>
    <row r="9" spans="1:23" s="50" customFormat="1">
      <c r="A9" s="46"/>
      <c r="B9" s="46"/>
      <c r="C9" s="47"/>
      <c r="D9" s="48"/>
      <c r="E9" s="49"/>
      <c r="G9" s="46"/>
      <c r="H9" s="46"/>
      <c r="I9" s="47"/>
      <c r="J9" s="48"/>
      <c r="K9" s="49"/>
      <c r="M9" s="46"/>
      <c r="N9" s="46"/>
      <c r="O9" s="47"/>
      <c r="P9" s="48"/>
      <c r="Q9" s="49"/>
      <c r="S9" s="46"/>
      <c r="T9" s="46"/>
      <c r="U9" s="47"/>
      <c r="V9" s="48"/>
      <c r="W9" s="49"/>
    </row>
    <row r="10" spans="1:23" s="50" customFormat="1">
      <c r="C10" s="84" t="s">
        <v>65</v>
      </c>
      <c r="D10" s="85">
        <f>SUM(D6:D9)</f>
        <v>0</v>
      </c>
      <c r="I10" s="96" t="s">
        <v>66</v>
      </c>
      <c r="J10" s="97">
        <f>SUM(J6:J9)</f>
        <v>0</v>
      </c>
      <c r="O10" s="98" t="s">
        <v>67</v>
      </c>
      <c r="P10" s="100">
        <f>SUM(P6:P9)</f>
        <v>0</v>
      </c>
      <c r="U10" s="103" t="s">
        <v>68</v>
      </c>
      <c r="V10" s="104">
        <f>SUM(V6:V9)</f>
        <v>0</v>
      </c>
    </row>
    <row r="11" spans="1:23" s="50" customFormat="1">
      <c r="C11" s="105"/>
      <c r="D11" s="106"/>
    </row>
    <row r="12" spans="1:23" s="50" customFormat="1"/>
    <row r="13" spans="1:23" s="50" customFormat="1"/>
    <row r="14" spans="1:23" s="50" customFormat="1">
      <c r="G14" s="87"/>
      <c r="H14" s="87"/>
      <c r="I14" s="87"/>
      <c r="J14" s="87"/>
      <c r="K14" s="87"/>
    </row>
    <row r="15" spans="1:23" s="50" customFormat="1">
      <c r="G15" s="88"/>
      <c r="H15" s="88"/>
      <c r="I15" s="89"/>
      <c r="J15" s="90"/>
      <c r="K15" s="91"/>
    </row>
    <row r="16" spans="1:23" s="50" customFormat="1" ht="21" customHeight="1">
      <c r="A16" s="54"/>
      <c r="B16" s="54"/>
      <c r="E16" s="54"/>
      <c r="G16" s="88"/>
      <c r="H16" s="88"/>
      <c r="I16" s="89"/>
      <c r="J16" s="90"/>
      <c r="K16" s="91"/>
    </row>
    <row r="17" spans="1:11" s="50" customFormat="1">
      <c r="A17" s="41"/>
      <c r="B17" s="41"/>
      <c r="C17" s="41"/>
      <c r="D17" s="41"/>
      <c r="E17" s="41"/>
      <c r="G17" s="88"/>
      <c r="H17" s="88"/>
      <c r="I17" s="89"/>
      <c r="J17" s="90"/>
      <c r="K17" s="91"/>
    </row>
    <row r="18" spans="1:11" s="50" customFormat="1">
      <c r="A18" s="41"/>
      <c r="B18" s="41"/>
      <c r="C18" s="41"/>
      <c r="D18" s="41"/>
      <c r="E18" s="41"/>
      <c r="G18" s="88"/>
      <c r="H18" s="88"/>
      <c r="I18" s="89"/>
      <c r="J18" s="90"/>
      <c r="K18" s="91"/>
    </row>
    <row r="19" spans="1:11" s="50" customFormat="1">
      <c r="A19" s="41"/>
      <c r="B19" s="41"/>
      <c r="C19" s="41"/>
      <c r="D19" s="41"/>
      <c r="E19" s="41"/>
      <c r="G19" s="88"/>
      <c r="H19" s="88"/>
      <c r="I19" s="89"/>
      <c r="J19" s="90"/>
      <c r="K19" s="91"/>
    </row>
    <row r="20" spans="1:11" s="50" customFormat="1">
      <c r="A20" s="41"/>
      <c r="B20" s="41"/>
      <c r="C20" s="41"/>
      <c r="D20" s="41"/>
      <c r="E20" s="41"/>
      <c r="G20" s="88"/>
      <c r="H20" s="88"/>
      <c r="I20" s="89"/>
      <c r="J20" s="90"/>
      <c r="K20" s="91"/>
    </row>
    <row r="21" spans="1:11" s="50" customFormat="1">
      <c r="A21" s="41"/>
      <c r="B21" s="41"/>
      <c r="C21" s="41"/>
      <c r="D21" s="41"/>
      <c r="E21" s="41"/>
      <c r="G21" s="88"/>
      <c r="H21" s="88"/>
      <c r="J21" s="90"/>
      <c r="K21" s="91"/>
    </row>
    <row r="22" spans="1:11" s="50" customFormat="1">
      <c r="A22" s="41"/>
      <c r="B22" s="41"/>
      <c r="C22" s="41"/>
      <c r="D22" s="41"/>
      <c r="E22" s="41"/>
      <c r="I22" s="89"/>
      <c r="J22" s="92"/>
    </row>
    <row r="23" spans="1:11" s="50" customFormat="1">
      <c r="A23" s="41"/>
      <c r="B23" s="41"/>
      <c r="C23" s="41"/>
      <c r="D23" s="41"/>
      <c r="E23" s="41"/>
      <c r="I23" s="81"/>
      <c r="J23" s="92"/>
    </row>
    <row r="24" spans="1:11" s="50" customFormat="1">
      <c r="A24" s="41"/>
      <c r="B24" s="41"/>
      <c r="C24" s="41"/>
      <c r="D24" s="41"/>
      <c r="E24" s="41"/>
    </row>
    <row r="25" spans="1:11" s="50" customFormat="1">
      <c r="A25" s="41"/>
      <c r="B25" s="41"/>
      <c r="C25" s="41"/>
      <c r="D25" s="41"/>
      <c r="E25" s="41"/>
    </row>
    <row r="26" spans="1:11" s="50" customFormat="1">
      <c r="A26" s="41"/>
      <c r="B26" s="41"/>
      <c r="C26" s="41"/>
      <c r="D26" s="41"/>
      <c r="E26" s="41"/>
    </row>
    <row r="27" spans="1:11" s="50" customFormat="1">
      <c r="A27" s="41"/>
      <c r="B27" s="41"/>
      <c r="C27" s="41"/>
      <c r="D27" s="41"/>
      <c r="E27" s="41"/>
    </row>
    <row r="28" spans="1:11" s="50" customFormat="1">
      <c r="A28" s="41"/>
      <c r="B28" s="41"/>
      <c r="C28" s="41"/>
      <c r="D28" s="41"/>
      <c r="E28" s="41"/>
    </row>
    <row r="29" spans="1:11" s="50" customFormat="1">
      <c r="A29" s="41"/>
      <c r="B29" s="41"/>
      <c r="C29" s="41"/>
      <c r="D29" s="41"/>
      <c r="E29" s="41"/>
    </row>
    <row r="30" spans="1:11" s="50" customFormat="1">
      <c r="A30" s="41"/>
      <c r="B30" s="41"/>
      <c r="C30" s="41"/>
      <c r="D30" s="41"/>
      <c r="E30" s="41"/>
    </row>
    <row r="31" spans="1:11" s="50" customFormat="1">
      <c r="A31" s="41"/>
      <c r="B31" s="41"/>
      <c r="C31" s="41"/>
      <c r="D31" s="41"/>
      <c r="E31" s="41"/>
      <c r="G31" s="26"/>
      <c r="H31" s="26"/>
      <c r="I31" s="26"/>
      <c r="J31" s="26"/>
      <c r="K31" s="26"/>
    </row>
    <row r="32" spans="1:11" s="50" customFormat="1">
      <c r="A32" s="41"/>
      <c r="B32" s="41"/>
      <c r="C32" s="41"/>
      <c r="D32" s="55"/>
      <c r="E32" s="41"/>
      <c r="G32" s="26"/>
      <c r="H32" s="26"/>
      <c r="I32" s="26"/>
      <c r="J32" s="26"/>
      <c r="K32" s="26"/>
    </row>
    <row r="33" spans="1:23" s="50" customFormat="1" ht="23.1" customHeight="1">
      <c r="A33" s="41"/>
      <c r="B33" s="41"/>
      <c r="C33" s="41"/>
      <c r="D33" s="41"/>
      <c r="E33" s="41"/>
      <c r="G33" s="26"/>
      <c r="H33" s="26"/>
      <c r="I33" s="26"/>
      <c r="J33" s="26"/>
      <c r="K33" s="26"/>
    </row>
    <row r="34" spans="1:23" s="50" customFormat="1" ht="14.1" customHeight="1">
      <c r="A34" s="41"/>
      <c r="B34" s="41"/>
      <c r="C34" s="41"/>
      <c r="D34" s="41"/>
      <c r="E34" s="41"/>
      <c r="G34" s="26"/>
      <c r="H34" s="26"/>
      <c r="I34" s="26"/>
      <c r="J34" s="26"/>
      <c r="K34" s="26"/>
    </row>
    <row r="35" spans="1:23" s="50" customFormat="1" ht="14.1" customHeight="1">
      <c r="A35" s="41"/>
      <c r="B35" s="41"/>
      <c r="C35" s="41"/>
      <c r="D35" s="41"/>
      <c r="E35" s="41"/>
      <c r="G35" s="26"/>
      <c r="H35" s="26"/>
      <c r="I35" s="26"/>
      <c r="J35" s="26"/>
      <c r="K35" s="26"/>
    </row>
    <row r="36" spans="1:23" s="50" customFormat="1">
      <c r="A36" s="41"/>
      <c r="B36" s="41"/>
      <c r="C36" s="41"/>
      <c r="D36" s="41"/>
      <c r="E36" s="41"/>
      <c r="G36" s="26"/>
      <c r="H36" s="26"/>
      <c r="I36" s="26"/>
      <c r="J36" s="26"/>
      <c r="K36" s="26"/>
    </row>
    <row r="37" spans="1:23" s="50" customFormat="1">
      <c r="A37" s="41"/>
      <c r="B37" s="41"/>
      <c r="C37" s="41"/>
      <c r="D37" s="41"/>
      <c r="E37" s="41"/>
      <c r="G37" s="26"/>
      <c r="H37" s="26"/>
      <c r="I37" s="26"/>
      <c r="J37" s="26"/>
      <c r="K37" s="26"/>
    </row>
    <row r="38" spans="1:23" s="50" customFormat="1">
      <c r="A38" s="41"/>
      <c r="B38" s="41"/>
      <c r="C38" s="41"/>
      <c r="D38" s="41"/>
      <c r="E38" s="41"/>
      <c r="G38" s="26"/>
      <c r="H38" s="26"/>
      <c r="I38" s="26"/>
      <c r="J38" s="26"/>
      <c r="K38" s="26"/>
      <c r="S38" s="26"/>
      <c r="T38" s="26"/>
      <c r="U38" s="26"/>
      <c r="V38" s="26"/>
      <c r="W38" s="26"/>
    </row>
    <row r="39" spans="1:23" s="50" customFormat="1">
      <c r="A39" s="41"/>
      <c r="B39" s="41"/>
      <c r="C39" s="41"/>
      <c r="D39" s="41"/>
      <c r="E39" s="41"/>
      <c r="G39" s="26"/>
      <c r="H39" s="26"/>
      <c r="I39" s="26"/>
      <c r="J39" s="26"/>
      <c r="K39" s="26"/>
      <c r="S39" s="26"/>
      <c r="T39" s="26"/>
      <c r="U39" s="26"/>
      <c r="V39" s="26"/>
      <c r="W39" s="26"/>
    </row>
    <row r="40" spans="1:23" s="50" customFormat="1" ht="27.95" customHeight="1">
      <c r="A40" s="41"/>
      <c r="B40" s="41"/>
      <c r="C40" s="41"/>
      <c r="D40" s="41"/>
      <c r="E40" s="41"/>
      <c r="G40" s="26"/>
      <c r="H40" s="26"/>
      <c r="I40" s="26"/>
      <c r="J40" s="26"/>
      <c r="K40" s="26"/>
      <c r="M40" s="26"/>
      <c r="N40" s="26"/>
      <c r="O40" s="26"/>
      <c r="P40" s="26"/>
      <c r="Q40" s="26"/>
      <c r="S40" s="26"/>
      <c r="T40" s="26"/>
      <c r="U40" s="26"/>
      <c r="V40" s="26"/>
      <c r="W40" s="26"/>
    </row>
  </sheetData>
  <sortState xmlns:xlrd2="http://schemas.microsoft.com/office/spreadsheetml/2017/richdata2" ref="M6:Q10">
    <sortCondition ref="N6:N10" customList="January,February,March,April,May,June,July,August,September,October,November,December"/>
  </sortState>
  <mergeCells count="4">
    <mergeCell ref="A3:B3"/>
    <mergeCell ref="C2:E2"/>
    <mergeCell ref="F2:J2"/>
    <mergeCell ref="F3:K3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6672D"/>
  </sheetPr>
  <dimension ref="A1:B27"/>
  <sheetViews>
    <sheetView zoomScale="130" zoomScaleNormal="130" zoomScalePageLayoutView="130" workbookViewId="0">
      <selection sqref="A1:B2"/>
    </sheetView>
  </sheetViews>
  <sheetFormatPr defaultColWidth="11.42578125" defaultRowHeight="15"/>
  <cols>
    <col min="1" max="1" width="20.140625" style="132" bestFit="1" customWidth="1"/>
    <col min="2" max="2" width="21.85546875" customWidth="1"/>
  </cols>
  <sheetData>
    <row r="1" spans="1:2" ht="21" customHeight="1">
      <c r="A1" s="144" t="s">
        <v>84</v>
      </c>
      <c r="B1" s="144"/>
    </row>
    <row r="2" spans="1:2" ht="21" customHeight="1">
      <c r="A2" s="144"/>
      <c r="B2" s="144"/>
    </row>
    <row r="3" spans="1:2" ht="15.75">
      <c r="A3" s="129" t="s">
        <v>69</v>
      </c>
    </row>
    <row r="4" spans="1:2" ht="15.75">
      <c r="A4" s="130" t="s">
        <v>75</v>
      </c>
    </row>
    <row r="5" spans="1:2" ht="15.75">
      <c r="A5" s="130" t="s">
        <v>76</v>
      </c>
    </row>
    <row r="6" spans="1:2" ht="15.75">
      <c r="A6" s="130" t="s">
        <v>77</v>
      </c>
    </row>
    <row r="7" spans="1:2" ht="15.75">
      <c r="A7" s="131"/>
    </row>
    <row r="8" spans="1:2" ht="15.75">
      <c r="A8" s="129" t="s">
        <v>70</v>
      </c>
    </row>
    <row r="9" spans="1:2" ht="15.75">
      <c r="A9" s="130" t="s">
        <v>78</v>
      </c>
    </row>
    <row r="10" spans="1:2" ht="15.75">
      <c r="A10" s="130" t="s">
        <v>76</v>
      </c>
    </row>
    <row r="11" spans="1:2" ht="15.75">
      <c r="A11" s="130" t="s">
        <v>77</v>
      </c>
    </row>
    <row r="12" spans="1:2" ht="15.75">
      <c r="A12" s="131"/>
    </row>
    <row r="13" spans="1:2" ht="15.75">
      <c r="A13" s="129" t="s">
        <v>71</v>
      </c>
    </row>
    <row r="14" spans="1:2" ht="15.75">
      <c r="A14" s="130" t="s">
        <v>79</v>
      </c>
    </row>
    <row r="15" spans="1:2" ht="15.75">
      <c r="A15" s="130" t="s">
        <v>80</v>
      </c>
    </row>
    <row r="16" spans="1:2" ht="15.75">
      <c r="A16" s="130" t="s">
        <v>81</v>
      </c>
    </row>
    <row r="17" spans="1:1" ht="15.75">
      <c r="A17" s="131"/>
    </row>
    <row r="18" spans="1:1" ht="15.75">
      <c r="A18" s="129" t="s">
        <v>83</v>
      </c>
    </row>
    <row r="19" spans="1:1" ht="15.75">
      <c r="A19" s="130" t="s">
        <v>79</v>
      </c>
    </row>
    <row r="20" spans="1:1" ht="15.75">
      <c r="A20" s="130" t="s">
        <v>80</v>
      </c>
    </row>
    <row r="21" spans="1:1" ht="15.75">
      <c r="A21" s="130" t="s">
        <v>81</v>
      </c>
    </row>
    <row r="22" spans="1:1" ht="15.75">
      <c r="A22" s="131"/>
    </row>
    <row r="23" spans="1:1" ht="15.75">
      <c r="A23" s="129" t="s">
        <v>72</v>
      </c>
    </row>
    <row r="24" spans="1:1" ht="15.75">
      <c r="A24" s="129"/>
    </row>
    <row r="25" spans="1:1" ht="15.75">
      <c r="A25" s="129" t="s">
        <v>73</v>
      </c>
    </row>
    <row r="26" spans="1:1" ht="15.75">
      <c r="A26" s="129"/>
    </row>
    <row r="27" spans="1:1" ht="15.75">
      <c r="A27" s="129" t="s">
        <v>74</v>
      </c>
    </row>
  </sheetData>
  <mergeCells count="1">
    <mergeCell ref="A1:B2"/>
  </mergeCells>
  <pageMargins left="0.7" right="0.7" top="0.75" bottom="0.75" header="0.3" footer="0.3"/>
  <pageSetup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6672D"/>
    <pageSetUpPr fitToPage="1"/>
  </sheetPr>
  <dimension ref="A1:R33"/>
  <sheetViews>
    <sheetView showGridLines="0" workbookViewId="0">
      <selection activeCell="O4" sqref="O4:P4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2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customWidth="1"/>
    <col min="18" max="18" width="30.85546875" customWidth="1"/>
    <col min="19" max="16384" width="8.7109375" style="1"/>
  </cols>
  <sheetData>
    <row r="1" spans="1:18" ht="11.25" customHeight="1"/>
    <row r="2" spans="1:18" ht="18" customHeight="1">
      <c r="A2" s="3"/>
      <c r="B2" s="22"/>
      <c r="C2" s="13"/>
      <c r="D2" s="13"/>
      <c r="E2" s="13"/>
      <c r="F2" s="13"/>
      <c r="G2" s="13"/>
      <c r="H2" s="13"/>
      <c r="I2" s="13"/>
      <c r="J2" s="13"/>
      <c r="K2" s="13"/>
      <c r="L2" s="14"/>
      <c r="M2" s="185" t="s">
        <v>23</v>
      </c>
      <c r="N2" s="186">
        <v>2013</v>
      </c>
      <c r="O2" s="186"/>
      <c r="P2" s="192">
        <v>2020</v>
      </c>
      <c r="R2" s="166"/>
    </row>
    <row r="3" spans="1:18" ht="21" customHeight="1">
      <c r="A3" s="3"/>
      <c r="B3" s="165" t="s">
        <v>0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2"/>
      <c r="K3" s="2"/>
      <c r="L3" s="4"/>
      <c r="M3" s="187"/>
      <c r="N3" s="188"/>
      <c r="O3" s="188"/>
      <c r="P3" s="193"/>
      <c r="R3" s="166"/>
    </row>
    <row r="4" spans="1:18" ht="18" customHeight="1">
      <c r="A4" s="3"/>
      <c r="B4" s="165"/>
      <c r="C4" s="5">
        <f>IF(DAY(JanSun1)=1,JanSun1-6,JanSun1+1)</f>
        <v>43828</v>
      </c>
      <c r="D4" s="5">
        <f>IF(DAY(JanSun1)=1,JanSun1-5,JanSun1+2)</f>
        <v>43829</v>
      </c>
      <c r="E4" s="5">
        <f>IF(DAY(JanSun1)=1,JanSun1-4,JanSun1+3)</f>
        <v>43830</v>
      </c>
      <c r="F4" s="5">
        <f>IF(DAY(JanSun1)=1,JanSun1-3,JanSun1+4)</f>
        <v>43831</v>
      </c>
      <c r="G4" s="5">
        <f>IF(DAY(JanSun1)=1,JanSun1-2,JanSun1+5)</f>
        <v>43832</v>
      </c>
      <c r="H4" s="5">
        <f>IF(DAY(JanSun1)=1,JanSun1-1,JanSun1+6)</f>
        <v>43833</v>
      </c>
      <c r="I4" s="5">
        <f>IF(DAY(JanSun1)=1,JanSun1,JanSun1+7)</f>
        <v>43834</v>
      </c>
      <c r="J4" s="5"/>
      <c r="K4" s="5"/>
      <c r="L4" s="4"/>
      <c r="M4" s="189" t="s">
        <v>26</v>
      </c>
      <c r="N4" s="8"/>
      <c r="O4" s="178"/>
      <c r="P4" s="179"/>
      <c r="R4" s="17"/>
    </row>
    <row r="5" spans="1:18" ht="21" customHeight="1">
      <c r="A5" s="3"/>
      <c r="B5" s="18"/>
      <c r="C5" s="5">
        <f>IF(DAY(JanSun1)=1,JanSun1+1,JanSun1+8)</f>
        <v>43835</v>
      </c>
      <c r="D5" s="5">
        <f>IF(DAY(JanSun1)=1,JanSun1+2,JanSun1+9)</f>
        <v>43836</v>
      </c>
      <c r="E5" s="5">
        <f>IF(DAY(JanSun1)=1,JanSun1+3,JanSun1+10)</f>
        <v>43837</v>
      </c>
      <c r="F5" s="5">
        <f>IF(DAY(JanSun1)=1,JanSun1+4,JanSun1+11)</f>
        <v>43838</v>
      </c>
      <c r="G5" s="5">
        <f>IF(DAY(JanSun1)=1,JanSun1+5,JanSun1+12)</f>
        <v>43839</v>
      </c>
      <c r="H5" s="5">
        <f>IF(DAY(JanSun1)=1,JanSun1+6,JanSun1+13)</f>
        <v>43840</v>
      </c>
      <c r="I5" s="5">
        <f>IF(DAY(JanSun1)=1,JanSun1+7,JanSun1+14)</f>
        <v>43841</v>
      </c>
      <c r="J5" s="5"/>
      <c r="K5" s="5"/>
      <c r="L5" s="4"/>
      <c r="M5" s="184"/>
      <c r="N5" s="9"/>
      <c r="O5" s="159"/>
      <c r="P5" s="160"/>
      <c r="R5" s="17"/>
    </row>
    <row r="6" spans="1:18" ht="18" customHeight="1">
      <c r="A6" s="3"/>
      <c r="B6" s="18"/>
      <c r="C6" s="5">
        <f>IF(DAY(JanSun1)=1,JanSun1+8,JanSun1+15)</f>
        <v>43842</v>
      </c>
      <c r="D6" s="5">
        <f>IF(DAY(JanSun1)=1,JanSun1+9,JanSun1+16)</f>
        <v>43843</v>
      </c>
      <c r="E6" s="5">
        <f>IF(DAY(JanSun1)=1,JanSun1+10,JanSun1+17)</f>
        <v>43844</v>
      </c>
      <c r="F6" s="5">
        <f>IF(DAY(JanSun1)=1,JanSun1+11,JanSun1+18)</f>
        <v>43845</v>
      </c>
      <c r="G6" s="5">
        <f>IF(DAY(JanSun1)=1,JanSun1+12,JanSun1+19)</f>
        <v>43846</v>
      </c>
      <c r="H6" s="5">
        <f>IF(DAY(JanSun1)=1,JanSun1+13,JanSun1+20)</f>
        <v>43847</v>
      </c>
      <c r="I6" s="5">
        <f>IF(DAY(JanSun1)=1,JanSun1+14,JanSun1+21)</f>
        <v>43848</v>
      </c>
      <c r="J6" s="5"/>
      <c r="K6" s="5"/>
      <c r="L6" s="4"/>
      <c r="M6" s="184"/>
      <c r="N6" s="9"/>
      <c r="O6" s="159"/>
      <c r="P6" s="160"/>
    </row>
    <row r="7" spans="1:18" ht="18" customHeight="1">
      <c r="A7" s="3"/>
      <c r="B7" s="18"/>
      <c r="C7" s="5">
        <f>IF(DAY(JanSun1)=1,JanSun1+15,JanSun1+22)</f>
        <v>43849</v>
      </c>
      <c r="D7" s="5">
        <f>IF(DAY(JanSun1)=1,JanSun1+16,JanSun1+23)</f>
        <v>43850</v>
      </c>
      <c r="E7" s="5">
        <f>IF(DAY(JanSun1)=1,JanSun1+17,JanSun1+24)</f>
        <v>43851</v>
      </c>
      <c r="F7" s="5">
        <f>IF(DAY(JanSun1)=1,JanSun1+18,JanSun1+25)</f>
        <v>43852</v>
      </c>
      <c r="G7" s="5">
        <f>IF(DAY(JanSun1)=1,JanSun1+19,JanSun1+26)</f>
        <v>43853</v>
      </c>
      <c r="H7" s="5">
        <f>IF(DAY(JanSun1)=1,JanSun1+20,JanSun1+27)</f>
        <v>43854</v>
      </c>
      <c r="I7" s="5">
        <f>IF(DAY(JanSun1)=1,JanSun1+21,JanSun1+28)</f>
        <v>43855</v>
      </c>
      <c r="J7" s="5"/>
      <c r="K7" s="5"/>
      <c r="L7" s="4"/>
      <c r="M7" s="57"/>
      <c r="N7" s="9"/>
    </row>
    <row r="8" spans="1:18" ht="18.75" customHeight="1">
      <c r="A8" s="3"/>
      <c r="B8" s="18"/>
      <c r="C8" s="5">
        <f>IF(DAY(JanSun1)=1,JanSun1+22,JanSun1+29)</f>
        <v>43856</v>
      </c>
      <c r="D8" s="5">
        <f>IF(DAY(JanSun1)=1,JanSun1+23,JanSun1+30)</f>
        <v>43857</v>
      </c>
      <c r="E8" s="5">
        <f>IF(DAY(JanSun1)=1,JanSun1+24,JanSun1+31)</f>
        <v>43858</v>
      </c>
      <c r="F8" s="5">
        <f>IF(DAY(JanSun1)=1,JanSun1+25,JanSun1+32)</f>
        <v>43859</v>
      </c>
      <c r="G8" s="5">
        <f>IF(DAY(JanSun1)=1,JanSun1+26,JanSun1+33)</f>
        <v>43860</v>
      </c>
      <c r="H8" s="5">
        <f>IF(DAY(JanSun1)=1,JanSun1+27,JanSun1+34)</f>
        <v>43861</v>
      </c>
      <c r="I8" s="5">
        <f>IF(DAY(JanSun1)=1,JanSun1+28,JanSun1+35)</f>
        <v>43862</v>
      </c>
      <c r="J8" s="5"/>
      <c r="K8" s="5"/>
      <c r="L8" s="4"/>
      <c r="M8" s="57"/>
      <c r="N8" s="9"/>
      <c r="O8" s="159"/>
      <c r="P8" s="160"/>
    </row>
    <row r="9" spans="1:18" ht="18" customHeight="1">
      <c r="A9" s="3"/>
      <c r="B9" s="18"/>
      <c r="C9" s="5">
        <f>IF(DAY(JanSun1)=1,JanSun1+29,JanSun1+36)</f>
        <v>43863</v>
      </c>
      <c r="D9" s="5">
        <f>IF(DAY(JanSun1)=1,JanSun1+30,JanSun1+37)</f>
        <v>43864</v>
      </c>
      <c r="E9" s="5">
        <f>IF(DAY(JanSun1)=1,JanSun1+31,JanSun1+38)</f>
        <v>43865</v>
      </c>
      <c r="F9" s="5">
        <f>IF(DAY(JanSun1)=1,JanSun1+32,JanSun1+39)</f>
        <v>43866</v>
      </c>
      <c r="G9" s="5">
        <f>IF(DAY(JanSun1)=1,JanSun1+33,JanSun1+40)</f>
        <v>43867</v>
      </c>
      <c r="H9" s="5">
        <f>IF(DAY(JanSun1)=1,JanSun1+34,JanSun1+41)</f>
        <v>43868</v>
      </c>
      <c r="I9" s="5">
        <f>IF(DAY(JanSun1)=1,JanSun1+35,JanSun1+42)</f>
        <v>43869</v>
      </c>
      <c r="J9" s="5"/>
      <c r="K9" s="5"/>
      <c r="L9" s="4"/>
      <c r="M9" s="58"/>
      <c r="N9" s="10"/>
      <c r="O9" s="161"/>
      <c r="P9" s="162"/>
    </row>
    <row r="10" spans="1:18" ht="18" customHeight="1">
      <c r="A10" s="3"/>
      <c r="B10" s="19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83" t="s">
        <v>28</v>
      </c>
      <c r="N10" s="8"/>
      <c r="O10" s="178"/>
      <c r="P10" s="179"/>
    </row>
    <row r="11" spans="1:18" ht="18" customHeight="1">
      <c r="A11" s="3"/>
      <c r="B11" s="167" t="s">
        <v>8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9"/>
      <c r="M11" s="184"/>
      <c r="N11" s="9"/>
      <c r="O11" s="159"/>
      <c r="P11" s="160"/>
    </row>
    <row r="12" spans="1:18" ht="18" customHeight="1">
      <c r="A12" s="3"/>
      <c r="B12" s="167"/>
      <c r="C12" s="168"/>
      <c r="D12" s="168"/>
      <c r="E12" s="168"/>
      <c r="F12" s="168"/>
      <c r="G12" s="168"/>
      <c r="H12" s="168"/>
      <c r="I12" s="168"/>
      <c r="J12" s="168"/>
      <c r="K12" s="168"/>
      <c r="L12" s="169"/>
      <c r="M12" s="184"/>
      <c r="N12" s="9"/>
      <c r="O12" s="159"/>
      <c r="P12" s="160"/>
    </row>
    <row r="13" spans="1:18" ht="18" customHeight="1">
      <c r="B13" s="60" t="s">
        <v>25</v>
      </c>
      <c r="C13" s="153" t="s">
        <v>6</v>
      </c>
      <c r="D13" s="154"/>
      <c r="E13" s="153" t="s">
        <v>7</v>
      </c>
      <c r="F13" s="154"/>
      <c r="G13" s="153" t="s">
        <v>9</v>
      </c>
      <c r="H13" s="154"/>
      <c r="I13" s="153" t="s">
        <v>10</v>
      </c>
      <c r="J13" s="154"/>
      <c r="K13" s="86" t="s">
        <v>11</v>
      </c>
      <c r="L13" s="86" t="s">
        <v>24</v>
      </c>
      <c r="M13" s="57"/>
      <c r="N13" s="9"/>
      <c r="O13" s="159"/>
      <c r="P13" s="160"/>
    </row>
    <row r="14" spans="1:18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57"/>
      <c r="N14" s="9"/>
      <c r="O14" s="159"/>
      <c r="P14" s="160"/>
    </row>
    <row r="15" spans="1:18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59"/>
      <c r="N15" s="11"/>
      <c r="O15" s="161"/>
      <c r="P15" s="162"/>
    </row>
    <row r="16" spans="1:18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183" t="s">
        <v>29</v>
      </c>
      <c r="N16" s="8"/>
      <c r="O16" s="163"/>
      <c r="P16" s="164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184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184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57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57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59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183" t="s">
        <v>30</v>
      </c>
      <c r="N22" s="8"/>
      <c r="O22" s="190"/>
      <c r="P22" s="191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194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194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184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57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59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183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184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184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6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</sheetData>
  <mergeCells count="118">
    <mergeCell ref="M28:M30"/>
    <mergeCell ref="G13:H13"/>
    <mergeCell ref="E13:F13"/>
    <mergeCell ref="C13:D13"/>
    <mergeCell ref="M2:O3"/>
    <mergeCell ref="M10:M12"/>
    <mergeCell ref="M4:M6"/>
    <mergeCell ref="O5:P5"/>
    <mergeCell ref="O22:P22"/>
    <mergeCell ref="O6:P6"/>
    <mergeCell ref="O8:P8"/>
    <mergeCell ref="O9:P9"/>
    <mergeCell ref="O10:P10"/>
    <mergeCell ref="P2:P3"/>
    <mergeCell ref="C19:D19"/>
    <mergeCell ref="C20:D20"/>
    <mergeCell ref="C21:D21"/>
    <mergeCell ref="C22:D22"/>
    <mergeCell ref="C23:D23"/>
    <mergeCell ref="C14:D14"/>
    <mergeCell ref="C15:D15"/>
    <mergeCell ref="M16:M18"/>
    <mergeCell ref="M22:M25"/>
    <mergeCell ref="G17:H17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3:F23"/>
    <mergeCell ref="E22:F22"/>
    <mergeCell ref="E21:F21"/>
    <mergeCell ref="E20:F20"/>
    <mergeCell ref="E19:F19"/>
    <mergeCell ref="E28:F28"/>
    <mergeCell ref="G18:H18"/>
    <mergeCell ref="G19:H19"/>
    <mergeCell ref="G14:H14"/>
    <mergeCell ref="G15:H15"/>
    <mergeCell ref="G16:H16"/>
    <mergeCell ref="E18:F18"/>
    <mergeCell ref="E17:F17"/>
    <mergeCell ref="E16:F16"/>
    <mergeCell ref="E15:F15"/>
    <mergeCell ref="E14:F14"/>
    <mergeCell ref="G22:H22"/>
    <mergeCell ref="G23:H23"/>
    <mergeCell ref="G24:H24"/>
    <mergeCell ref="G20:H20"/>
    <mergeCell ref="G21:H21"/>
    <mergeCell ref="E27:F27"/>
    <mergeCell ref="E26:F26"/>
    <mergeCell ref="E25:F25"/>
    <mergeCell ref="E24:F24"/>
    <mergeCell ref="G26:H26"/>
    <mergeCell ref="G27:H27"/>
    <mergeCell ref="B3:B4"/>
    <mergeCell ref="R2:R3"/>
    <mergeCell ref="B11:L12"/>
    <mergeCell ref="O31:P31"/>
    <mergeCell ref="O32:P32"/>
    <mergeCell ref="O33:P33"/>
    <mergeCell ref="O26:P26"/>
    <mergeCell ref="O27:P27"/>
    <mergeCell ref="O28:P28"/>
    <mergeCell ref="O29:P29"/>
    <mergeCell ref="O30:P30"/>
    <mergeCell ref="O21:P21"/>
    <mergeCell ref="O24:P24"/>
    <mergeCell ref="O25:P25"/>
    <mergeCell ref="G30:H30"/>
    <mergeCell ref="G31:H31"/>
    <mergeCell ref="G32:H32"/>
    <mergeCell ref="G33:H33"/>
    <mergeCell ref="G25:H25"/>
    <mergeCell ref="O4:P4"/>
    <mergeCell ref="O23:P23"/>
    <mergeCell ref="O11:P11"/>
    <mergeCell ref="G28:H28"/>
    <mergeCell ref="G29:H29"/>
    <mergeCell ref="O12:P12"/>
    <mergeCell ref="O14:P14"/>
    <mergeCell ref="O15:P15"/>
    <mergeCell ref="O16:P16"/>
    <mergeCell ref="O17:P17"/>
    <mergeCell ref="O18:P18"/>
    <mergeCell ref="O19:P19"/>
    <mergeCell ref="O20:P20"/>
    <mergeCell ref="O13:P13"/>
    <mergeCell ref="I26:J26"/>
    <mergeCell ref="I28:J29"/>
    <mergeCell ref="I30:J30"/>
    <mergeCell ref="I31:J31"/>
    <mergeCell ref="I32:J32"/>
    <mergeCell ref="I33:J33"/>
    <mergeCell ref="I27:J27"/>
    <mergeCell ref="I13:J13"/>
    <mergeCell ref="I14:J15"/>
    <mergeCell ref="I16:J17"/>
    <mergeCell ref="I18:J18"/>
    <mergeCell ref="I19:J19"/>
    <mergeCell ref="I20:J21"/>
    <mergeCell ref="I22:J22"/>
    <mergeCell ref="I23:J23"/>
    <mergeCell ref="I24:J25"/>
  </mergeCells>
  <phoneticPr fontId="3" type="noConversion"/>
  <conditionalFormatting sqref="C4:H4">
    <cfRule type="expression" dxfId="189" priority="36" stopIfTrue="1">
      <formula>DAY(C4)&gt;8</formula>
    </cfRule>
  </conditionalFormatting>
  <conditionalFormatting sqref="C8:K10">
    <cfRule type="expression" dxfId="188" priority="35" stopIfTrue="1">
      <formula>AND(DAY(C8)&gt;=1,DAY(C8)&lt;=15)</formula>
    </cfRule>
  </conditionalFormatting>
  <conditionalFormatting sqref="C4:K9">
    <cfRule type="expression" dxfId="187" priority="47">
      <formula>VLOOKUP(DAY(C4),AssignmentDays,1,FALSE)=DAY(C4)</formula>
    </cfRule>
  </conditionalFormatting>
  <conditionalFormatting sqref="B20:I20 B21:H21 K20:L21">
    <cfRule type="expression" dxfId="186" priority="10">
      <formula>B20&lt;&gt;""</formula>
    </cfRule>
  </conditionalFormatting>
  <conditionalFormatting sqref="B14:I14 B15:C15 B16:I16 B17:H19 B22:H23 B26:H27 B30:H33 K14:L19 E15:H15 K22:L23 K26:L27 K30:L33">
    <cfRule type="expression" dxfId="185" priority="11">
      <formula>B14&lt;&gt;""</formula>
    </cfRule>
  </conditionalFormatting>
  <conditionalFormatting sqref="I30:J31">
    <cfRule type="expression" dxfId="184" priority="2">
      <formula>I30&lt;&gt;""</formula>
    </cfRule>
  </conditionalFormatting>
  <conditionalFormatting sqref="I32:J33">
    <cfRule type="expression" dxfId="183" priority="1">
      <formula>I32&lt;&gt;""</formula>
    </cfRule>
  </conditionalFormatting>
  <conditionalFormatting sqref="I28">
    <cfRule type="expression" dxfId="182" priority="4">
      <formula>I28&lt;&gt;""</formula>
    </cfRule>
  </conditionalFormatting>
  <conditionalFormatting sqref="I24">
    <cfRule type="expression" dxfId="181" priority="5">
      <formula>I24&lt;&gt;""</formula>
    </cfRule>
  </conditionalFormatting>
  <conditionalFormatting sqref="I18:J19">
    <cfRule type="expression" dxfId="180" priority="7">
      <formula>I18&lt;&gt;""</formula>
    </cfRule>
  </conditionalFormatting>
  <conditionalFormatting sqref="B24:H25 K24:L25">
    <cfRule type="expression" dxfId="179" priority="9">
      <formula>B24&lt;&gt;""</formula>
    </cfRule>
  </conditionalFormatting>
  <conditionalFormatting sqref="B28:H29 K28:L29">
    <cfRule type="expression" dxfId="178" priority="8">
      <formula>B28&lt;&gt;""</formula>
    </cfRule>
  </conditionalFormatting>
  <conditionalFormatting sqref="I26:J27">
    <cfRule type="expression" dxfId="177" priority="3">
      <formula>I26&lt;&gt;""</formula>
    </cfRule>
  </conditionalFormatting>
  <conditionalFormatting sqref="I22:J23">
    <cfRule type="expression" dxfId="176" priority="6">
      <formula>I22&lt;&gt;""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P2" xr:uid="{00000000-0002-0000-0300-000000000000}"/>
  </dataValidations>
  <printOptions horizontalCentered="1" verticalCentered="1"/>
  <pageMargins left="0.5" right="0.5" top="0.5" bottom="0.5" header="0.3" footer="0.3"/>
  <pageSetup scale="9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rgb="FFF6672D"/>
    <pageSetUpPr fitToPage="1"/>
  </sheetPr>
  <dimension ref="A1:P33"/>
  <sheetViews>
    <sheetView showGridLines="0" workbookViewId="0">
      <selection activeCell="B13" sqref="B13:L33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1.14062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style="1" customWidth="1"/>
    <col min="18" max="16384" width="8.7109375" style="1"/>
  </cols>
  <sheetData>
    <row r="1" spans="1:16" ht="11.25" customHeight="1"/>
    <row r="2" spans="1:16" ht="18" customHeight="1">
      <c r="A2" s="3"/>
      <c r="B2" s="22"/>
      <c r="C2" s="13"/>
      <c r="D2" s="13"/>
      <c r="E2" s="13"/>
      <c r="F2" s="13"/>
      <c r="G2" s="13"/>
      <c r="H2" s="13"/>
      <c r="I2" s="13"/>
      <c r="J2" s="14"/>
      <c r="K2" s="13"/>
      <c r="L2" s="14"/>
      <c r="M2" s="185" t="s">
        <v>23</v>
      </c>
      <c r="N2" s="186">
        <v>2013</v>
      </c>
      <c r="O2" s="186"/>
      <c r="P2" s="195">
        <f>CalendarYear</f>
        <v>2020</v>
      </c>
    </row>
    <row r="3" spans="1:16" ht="21" customHeight="1">
      <c r="A3" s="3"/>
      <c r="B3" s="165" t="s">
        <v>12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4"/>
      <c r="K3" s="2"/>
      <c r="L3" s="4"/>
      <c r="M3" s="187"/>
      <c r="N3" s="188"/>
      <c r="O3" s="188"/>
      <c r="P3" s="196"/>
    </row>
    <row r="4" spans="1:16" ht="18" customHeight="1">
      <c r="A4" s="3"/>
      <c r="B4" s="165"/>
      <c r="C4" s="5">
        <f>IF(DAY(FebSun1)=1,FebSun1-6,FebSun1+1)</f>
        <v>43856</v>
      </c>
      <c r="D4" s="5">
        <f>IF(DAY(FebSun1)=1,FebSun1-5,FebSun1+2)</f>
        <v>43857</v>
      </c>
      <c r="E4" s="5">
        <f>IF(DAY(FebSun1)=1,FebSun1-4,FebSun1+3)</f>
        <v>43858</v>
      </c>
      <c r="F4" s="5">
        <f>IF(DAY(FebSun1)=1,FebSun1-3,FebSun1+4)</f>
        <v>43859</v>
      </c>
      <c r="G4" s="5">
        <f>IF(DAY(FebSun1)=1,FebSun1-2,FebSun1+5)</f>
        <v>43860</v>
      </c>
      <c r="H4" s="5">
        <f>IF(DAY(FebSun1)=1,FebSun1-1,FebSun1+6)</f>
        <v>43861</v>
      </c>
      <c r="I4" s="5">
        <f>IF(DAY(FebSun1)=1,FebSun1,FebSun1+7)</f>
        <v>43862</v>
      </c>
      <c r="J4" s="4"/>
      <c r="K4" s="5"/>
      <c r="L4" s="4"/>
      <c r="M4" s="189" t="s">
        <v>26</v>
      </c>
      <c r="N4" s="8"/>
      <c r="O4" s="197"/>
      <c r="P4" s="198"/>
    </row>
    <row r="5" spans="1:16" ht="18" customHeight="1">
      <c r="A5" s="3"/>
      <c r="B5" s="20"/>
      <c r="C5" s="5">
        <f>IF(DAY(FebSun1)=1,FebSun1+1,FebSun1+8)</f>
        <v>43863</v>
      </c>
      <c r="D5" s="5">
        <f>IF(DAY(FebSun1)=1,FebSun1+2,FebSun1+9)</f>
        <v>43864</v>
      </c>
      <c r="E5" s="5">
        <f>IF(DAY(FebSun1)=1,FebSun1+3,FebSun1+10)</f>
        <v>43865</v>
      </c>
      <c r="F5" s="5">
        <f>IF(DAY(FebSun1)=1,FebSun1+4,FebSun1+11)</f>
        <v>43866</v>
      </c>
      <c r="G5" s="5">
        <f>IF(DAY(FebSun1)=1,FebSun1+5,FebSun1+12)</f>
        <v>43867</v>
      </c>
      <c r="H5" s="5">
        <f>IF(DAY(FebSun1)=1,FebSun1+6,FebSun1+13)</f>
        <v>43868</v>
      </c>
      <c r="I5" s="5">
        <f>IF(DAY(FebSun1)=1,FebSun1+7,FebSun1+14)</f>
        <v>43869</v>
      </c>
      <c r="J5" s="4"/>
      <c r="K5" s="5"/>
      <c r="L5" s="4"/>
      <c r="M5" s="184"/>
      <c r="N5" s="9"/>
      <c r="O5" s="159"/>
      <c r="P5" s="160"/>
    </row>
    <row r="6" spans="1:16" ht="18" customHeight="1">
      <c r="A6" s="3"/>
      <c r="B6" s="20"/>
      <c r="C6" s="5">
        <f>IF(DAY(FebSun1)=1,FebSun1+8,FebSun1+15)</f>
        <v>43870</v>
      </c>
      <c r="D6" s="5">
        <f>IF(DAY(FebSun1)=1,FebSun1+9,FebSun1+16)</f>
        <v>43871</v>
      </c>
      <c r="E6" s="5">
        <f>IF(DAY(FebSun1)=1,FebSun1+10,FebSun1+17)</f>
        <v>43872</v>
      </c>
      <c r="F6" s="5">
        <f>IF(DAY(FebSun1)=1,FebSun1+11,FebSun1+18)</f>
        <v>43873</v>
      </c>
      <c r="G6" s="5">
        <f>IF(DAY(FebSun1)=1,FebSun1+12,FebSun1+19)</f>
        <v>43874</v>
      </c>
      <c r="H6" s="5">
        <f>IF(DAY(FebSun1)=1,FebSun1+13,FebSun1+20)</f>
        <v>43875</v>
      </c>
      <c r="I6" s="5">
        <f>IF(DAY(FebSun1)=1,FebSun1+14,FebSun1+21)</f>
        <v>43876</v>
      </c>
      <c r="J6" s="4"/>
      <c r="K6" s="5"/>
      <c r="L6" s="4"/>
      <c r="M6" s="184"/>
      <c r="N6" s="9"/>
      <c r="O6" s="159"/>
      <c r="P6" s="160"/>
    </row>
    <row r="7" spans="1:16" ht="18" customHeight="1">
      <c r="A7" s="3"/>
      <c r="B7" s="20"/>
      <c r="C7" s="5">
        <f>IF(DAY(FebSun1)=1,FebSun1+15,FebSun1+22)</f>
        <v>43877</v>
      </c>
      <c r="D7" s="5">
        <f>IF(DAY(FebSun1)=1,FebSun1+16,FebSun1+23)</f>
        <v>43878</v>
      </c>
      <c r="E7" s="5">
        <f>IF(DAY(FebSun1)=1,FebSun1+17,FebSun1+24)</f>
        <v>43879</v>
      </c>
      <c r="F7" s="5">
        <f>IF(DAY(FebSun1)=1,FebSun1+18,FebSun1+25)</f>
        <v>43880</v>
      </c>
      <c r="G7" s="5">
        <f>IF(DAY(FebSun1)=1,FebSun1+19,FebSun1+26)</f>
        <v>43881</v>
      </c>
      <c r="H7" s="5">
        <f>IF(DAY(FebSun1)=1,FebSun1+20,FebSun1+27)</f>
        <v>43882</v>
      </c>
      <c r="I7" s="5">
        <f>IF(DAY(FebSun1)=1,FebSun1+21,FebSun1+28)</f>
        <v>43883</v>
      </c>
      <c r="J7" s="4"/>
      <c r="K7" s="5"/>
      <c r="L7" s="4"/>
      <c r="M7" s="57"/>
      <c r="N7" s="9"/>
      <c r="O7" s="159"/>
      <c r="P7" s="160"/>
    </row>
    <row r="8" spans="1:16" ht="18.75" customHeight="1">
      <c r="A8" s="3"/>
      <c r="B8" s="20"/>
      <c r="C8" s="5">
        <f>IF(DAY(FebSun1)=1,FebSun1+22,FebSun1+29)</f>
        <v>43884</v>
      </c>
      <c r="D8" s="5">
        <f>IF(DAY(FebSun1)=1,FebSun1+23,FebSun1+30)</f>
        <v>43885</v>
      </c>
      <c r="E8" s="5">
        <f>IF(DAY(FebSun1)=1,FebSun1+24,FebSun1+31)</f>
        <v>43886</v>
      </c>
      <c r="F8" s="5">
        <f>IF(DAY(FebSun1)=1,FebSun1+25,FebSun1+32)</f>
        <v>43887</v>
      </c>
      <c r="G8" s="5">
        <f>IF(DAY(FebSun1)=1,FebSun1+26,FebSun1+33)</f>
        <v>43888</v>
      </c>
      <c r="H8" s="5">
        <f>IF(DAY(FebSun1)=1,FebSun1+27,FebSun1+34)</f>
        <v>43889</v>
      </c>
      <c r="I8" s="5">
        <f>IF(DAY(FebSun1)=1,FebSun1+28,FebSun1+35)</f>
        <v>43890</v>
      </c>
      <c r="J8" s="4"/>
      <c r="K8" s="5"/>
      <c r="L8" s="4"/>
      <c r="M8" s="57"/>
      <c r="N8" s="9"/>
      <c r="O8" s="159"/>
      <c r="P8" s="160"/>
    </row>
    <row r="9" spans="1:16" ht="18" customHeight="1">
      <c r="A9" s="3"/>
      <c r="B9" s="20"/>
      <c r="C9" s="5">
        <f>IF(DAY(FebSun1)=1,FebSun1+29,FebSun1+36)</f>
        <v>43891</v>
      </c>
      <c r="D9" s="5">
        <f>IF(DAY(FebSun1)=1,FebSun1+30,FebSun1+37)</f>
        <v>43892</v>
      </c>
      <c r="E9" s="5">
        <f>IF(DAY(FebSun1)=1,FebSun1+31,FebSun1+38)</f>
        <v>43893</v>
      </c>
      <c r="F9" s="5">
        <f>IF(DAY(FebSun1)=1,FebSun1+32,FebSun1+39)</f>
        <v>43894</v>
      </c>
      <c r="G9" s="5">
        <f>IF(DAY(FebSun1)=1,FebSun1+33,FebSun1+40)</f>
        <v>43895</v>
      </c>
      <c r="H9" s="5">
        <f>IF(DAY(FebSun1)=1,FebSun1+34,FebSun1+41)</f>
        <v>43896</v>
      </c>
      <c r="I9" s="5">
        <f>IF(DAY(FebSun1)=1,FebSun1+35,FebSun1+42)</f>
        <v>43897</v>
      </c>
      <c r="J9" s="4"/>
      <c r="K9" s="5"/>
      <c r="L9" s="4"/>
      <c r="M9" s="58"/>
      <c r="N9" s="10"/>
      <c r="O9" s="161"/>
      <c r="P9" s="162"/>
    </row>
    <row r="10" spans="1:16" ht="18" customHeight="1">
      <c r="A10" s="3"/>
      <c r="B10" s="21"/>
      <c r="C10" s="15"/>
      <c r="D10" s="15"/>
      <c r="E10" s="15"/>
      <c r="F10" s="15"/>
      <c r="G10" s="15"/>
      <c r="H10" s="15"/>
      <c r="I10" s="15"/>
      <c r="J10" s="16"/>
      <c r="K10" s="15"/>
      <c r="L10" s="16"/>
      <c r="M10" s="183" t="s">
        <v>28</v>
      </c>
      <c r="N10" s="8"/>
      <c r="O10" s="172"/>
      <c r="P10" s="173"/>
    </row>
    <row r="11" spans="1:16" ht="18" customHeight="1">
      <c r="A11" s="3"/>
      <c r="B11" s="167" t="s">
        <v>8</v>
      </c>
      <c r="C11" s="168"/>
      <c r="D11" s="168"/>
      <c r="E11" s="168"/>
      <c r="F11" s="168"/>
      <c r="G11" s="168"/>
      <c r="H11" s="168"/>
      <c r="I11" s="168"/>
      <c r="J11" s="169"/>
      <c r="K11" s="23"/>
      <c r="L11" s="23"/>
      <c r="M11" s="184"/>
      <c r="N11" s="9"/>
      <c r="O11" s="159"/>
      <c r="P11" s="160"/>
    </row>
    <row r="12" spans="1:16" ht="18" customHeight="1">
      <c r="A12" s="3"/>
      <c r="B12" s="167"/>
      <c r="C12" s="168"/>
      <c r="D12" s="168"/>
      <c r="E12" s="168"/>
      <c r="F12" s="168"/>
      <c r="G12" s="168"/>
      <c r="H12" s="168"/>
      <c r="I12" s="168"/>
      <c r="J12" s="169"/>
      <c r="K12" s="23"/>
      <c r="L12" s="23"/>
      <c r="M12" s="184"/>
      <c r="N12" s="9"/>
      <c r="O12" s="159"/>
      <c r="P12" s="160"/>
    </row>
    <row r="13" spans="1:16" ht="18" customHeight="1">
      <c r="B13" s="60" t="s">
        <v>25</v>
      </c>
      <c r="C13" s="153" t="s">
        <v>6</v>
      </c>
      <c r="D13" s="154"/>
      <c r="E13" s="153" t="s">
        <v>7</v>
      </c>
      <c r="F13" s="154"/>
      <c r="G13" s="153" t="s">
        <v>9</v>
      </c>
      <c r="H13" s="154"/>
      <c r="I13" s="153" t="s">
        <v>10</v>
      </c>
      <c r="J13" s="154"/>
      <c r="K13" s="61" t="s">
        <v>11</v>
      </c>
      <c r="L13" s="61" t="s">
        <v>24</v>
      </c>
      <c r="M13" s="57"/>
      <c r="N13" s="9"/>
      <c r="O13" s="159"/>
      <c r="P13" s="160"/>
    </row>
    <row r="14" spans="1:16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57"/>
      <c r="N14" s="9"/>
      <c r="O14" s="159"/>
      <c r="P14" s="160"/>
    </row>
    <row r="15" spans="1:16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59"/>
      <c r="N15" s="11"/>
      <c r="O15" s="161"/>
      <c r="P15" s="162"/>
    </row>
    <row r="16" spans="1:16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183" t="s">
        <v>29</v>
      </c>
      <c r="N16" s="8"/>
      <c r="O16" s="172"/>
      <c r="P16" s="173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184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184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57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57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59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183" t="s">
        <v>30</v>
      </c>
      <c r="N22" s="8"/>
      <c r="O22" s="172"/>
      <c r="P22" s="173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184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184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184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57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59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183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184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184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6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</sheetData>
  <mergeCells count="118">
    <mergeCell ref="M10:M12"/>
    <mergeCell ref="P2:P3"/>
    <mergeCell ref="O10:P10"/>
    <mergeCell ref="B11:J12"/>
    <mergeCell ref="O11:P11"/>
    <mergeCell ref="O12:P12"/>
    <mergeCell ref="C13:D13"/>
    <mergeCell ref="E13:F13"/>
    <mergeCell ref="G13:H13"/>
    <mergeCell ref="I13:J13"/>
    <mergeCell ref="O13:P13"/>
    <mergeCell ref="B3:B4"/>
    <mergeCell ref="M2:O3"/>
    <mergeCell ref="M4:M6"/>
    <mergeCell ref="O4:P4"/>
    <mergeCell ref="O5:P5"/>
    <mergeCell ref="O6:P6"/>
    <mergeCell ref="O7:P7"/>
    <mergeCell ref="O8:P8"/>
    <mergeCell ref="O9:P9"/>
    <mergeCell ref="C14:D14"/>
    <mergeCell ref="E14:F14"/>
    <mergeCell ref="G14:H14"/>
    <mergeCell ref="O14:P14"/>
    <mergeCell ref="C15:D15"/>
    <mergeCell ref="E15:F15"/>
    <mergeCell ref="G15:H15"/>
    <mergeCell ref="O15:P15"/>
    <mergeCell ref="I14:J15"/>
    <mergeCell ref="I18:J18"/>
    <mergeCell ref="I19:J19"/>
    <mergeCell ref="O17:P17"/>
    <mergeCell ref="C18:D18"/>
    <mergeCell ref="E18:F18"/>
    <mergeCell ref="G18:H18"/>
    <mergeCell ref="O18:P18"/>
    <mergeCell ref="C16:D16"/>
    <mergeCell ref="E16:F16"/>
    <mergeCell ref="G16:H16"/>
    <mergeCell ref="M16:M18"/>
    <mergeCell ref="O16:P16"/>
    <mergeCell ref="C17:D17"/>
    <mergeCell ref="E17:F17"/>
    <mergeCell ref="G17:H17"/>
    <mergeCell ref="I16:J17"/>
    <mergeCell ref="C19:D19"/>
    <mergeCell ref="E19:F19"/>
    <mergeCell ref="G19:H19"/>
    <mergeCell ref="O19:P19"/>
    <mergeCell ref="C20:D20"/>
    <mergeCell ref="E20:F20"/>
    <mergeCell ref="G20:H20"/>
    <mergeCell ref="O20:P20"/>
    <mergeCell ref="I20:J21"/>
    <mergeCell ref="O22:P22"/>
    <mergeCell ref="C23:D23"/>
    <mergeCell ref="E23:F23"/>
    <mergeCell ref="G23:H23"/>
    <mergeCell ref="O23:P23"/>
    <mergeCell ref="C21:D21"/>
    <mergeCell ref="E21:F21"/>
    <mergeCell ref="G21:H21"/>
    <mergeCell ref="O21:P21"/>
    <mergeCell ref="C22:D22"/>
    <mergeCell ref="E22:F22"/>
    <mergeCell ref="G22:H22"/>
    <mergeCell ref="M22:M25"/>
    <mergeCell ref="C24:D24"/>
    <mergeCell ref="E24:F24"/>
    <mergeCell ref="G24:H24"/>
    <mergeCell ref="O24:P24"/>
    <mergeCell ref="C25:D25"/>
    <mergeCell ref="E25:F25"/>
    <mergeCell ref="G25:H25"/>
    <mergeCell ref="O25:P25"/>
    <mergeCell ref="I24:J25"/>
    <mergeCell ref="C26:D26"/>
    <mergeCell ref="E26:F26"/>
    <mergeCell ref="G26:H26"/>
    <mergeCell ref="O26:P26"/>
    <mergeCell ref="C27:D27"/>
    <mergeCell ref="E27:F27"/>
    <mergeCell ref="G27:H27"/>
    <mergeCell ref="O27:P27"/>
    <mergeCell ref="O29:P29"/>
    <mergeCell ref="C28:D28"/>
    <mergeCell ref="E28:F28"/>
    <mergeCell ref="G28:H28"/>
    <mergeCell ref="M28:M30"/>
    <mergeCell ref="O28:P28"/>
    <mergeCell ref="C29:D29"/>
    <mergeCell ref="E29:F29"/>
    <mergeCell ref="G29:H29"/>
    <mergeCell ref="I28:J29"/>
    <mergeCell ref="I22:J22"/>
    <mergeCell ref="I23:J23"/>
    <mergeCell ref="I26:J26"/>
    <mergeCell ref="I27:J27"/>
    <mergeCell ref="I30:J30"/>
    <mergeCell ref="O33:P33"/>
    <mergeCell ref="C31:D31"/>
    <mergeCell ref="E31:F31"/>
    <mergeCell ref="G31:H31"/>
    <mergeCell ref="O31:P31"/>
    <mergeCell ref="C32:D32"/>
    <mergeCell ref="E32:F32"/>
    <mergeCell ref="G32:H32"/>
    <mergeCell ref="O32:P32"/>
    <mergeCell ref="C33:D33"/>
    <mergeCell ref="E33:F33"/>
    <mergeCell ref="G33:H33"/>
    <mergeCell ref="I31:J31"/>
    <mergeCell ref="I32:J32"/>
    <mergeCell ref="I33:J33"/>
    <mergeCell ref="C30:D30"/>
    <mergeCell ref="E30:F30"/>
    <mergeCell ref="G30:H30"/>
    <mergeCell ref="O30:P30"/>
  </mergeCells>
  <conditionalFormatting sqref="C4:H4">
    <cfRule type="expression" dxfId="175" priority="18" stopIfTrue="1">
      <formula>DAY(C4)&gt;8</formula>
    </cfRule>
  </conditionalFormatting>
  <conditionalFormatting sqref="C8:I10">
    <cfRule type="expression" dxfId="174" priority="17" stopIfTrue="1">
      <formula>AND(DAY(C8)&gt;=1,DAY(C8)&lt;=15)</formula>
    </cfRule>
  </conditionalFormatting>
  <conditionalFormatting sqref="C4:I9">
    <cfRule type="expression" dxfId="173" priority="19">
      <formula>VLOOKUP(DAY(C4),AssignmentDays,1,FALSE)=DAY(C4)</formula>
    </cfRule>
  </conditionalFormatting>
  <conditionalFormatting sqref="B14:I14 B15:C15 B16:I16 B17:H19 B22:H23 B26:H27 B30:H33 K14:L19 E15:H15 K22:L23 K26:L27 K30:L33">
    <cfRule type="expression" dxfId="172" priority="12">
      <formula>B14&lt;&gt;""</formula>
    </cfRule>
  </conditionalFormatting>
  <conditionalFormatting sqref="B20:I20 B21:H21 K20:L21">
    <cfRule type="expression" dxfId="171" priority="11">
      <formula>B20&lt;&gt;""</formula>
    </cfRule>
  </conditionalFormatting>
  <conditionalFormatting sqref="B24:H25 K24:L25">
    <cfRule type="expression" dxfId="170" priority="10">
      <formula>B24&lt;&gt;""</formula>
    </cfRule>
  </conditionalFormatting>
  <conditionalFormatting sqref="B28:H29 K28:L29">
    <cfRule type="expression" dxfId="169" priority="9">
      <formula>B28&lt;&gt;""</formula>
    </cfRule>
  </conditionalFormatting>
  <conditionalFormatting sqref="I18:J19">
    <cfRule type="expression" dxfId="168" priority="8">
      <formula>I18&lt;&gt;""</formula>
    </cfRule>
  </conditionalFormatting>
  <conditionalFormatting sqref="I22:J23">
    <cfRule type="expression" dxfId="167" priority="7">
      <formula>I22&lt;&gt;""</formula>
    </cfRule>
  </conditionalFormatting>
  <conditionalFormatting sqref="I24">
    <cfRule type="expression" dxfId="166" priority="6">
      <formula>I24&lt;&gt;""</formula>
    </cfRule>
  </conditionalFormatting>
  <conditionalFormatting sqref="I28">
    <cfRule type="expression" dxfId="165" priority="5">
      <formula>I28&lt;&gt;""</formula>
    </cfRule>
  </conditionalFormatting>
  <conditionalFormatting sqref="I26:J27">
    <cfRule type="expression" dxfId="164" priority="3">
      <formula>I26&lt;&gt;""</formula>
    </cfRule>
  </conditionalFormatting>
  <conditionalFormatting sqref="I30:J31">
    <cfRule type="expression" dxfId="163" priority="2">
      <formula>I30&lt;&gt;""</formula>
    </cfRule>
  </conditionalFormatting>
  <conditionalFormatting sqref="I32:J33">
    <cfRule type="expression" dxfId="162" priority="1">
      <formula>I32&lt;&gt;""</formula>
    </cfRule>
  </conditionalFormatting>
  <printOptions horizontalCentered="1" verticalCentered="1"/>
  <pageMargins left="0.5" right="0.5" top="0.5" bottom="0.5" header="0.3" footer="0.3"/>
  <pageSetup scale="91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stopIfTrue="1" id="{CFA67192-B078-4240-A08F-9E3EED5111E5}">
            <xm:f>AND(DAY(Jan!L8)&gt;=1,DAY(Jan!L8)&lt;=15)</xm:f>
            <x14:dxf>
              <font>
                <color theme="0" tint="-0.24994659260841701"/>
              </font>
            </x14:dxf>
          </x14:cfRule>
          <xm:sqref>K8:K10</xm:sqref>
        </x14:conditionalFormatting>
        <x14:conditionalFormatting xmlns:xm="http://schemas.microsoft.com/office/excel/2006/main">
          <x14:cfRule type="expression" priority="15" id="{676E0D96-4501-744A-8EB7-6D3B861681A2}">
            <xm:f>VLOOKUP(DAY(Jan!L4),AssignmentDays,1,FALSE)=DAY(Jan!L4)</xm:f>
            <x14:dxf>
              <font>
                <b/>
                <i val="0"/>
                <color theme="1"/>
              </font>
              <fill>
                <patternFill patternType="solid"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K4:K9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rgb="FFF6672D"/>
    <pageSetUpPr fitToPage="1"/>
  </sheetPr>
  <dimension ref="A1:P33"/>
  <sheetViews>
    <sheetView showGridLines="0" workbookViewId="0">
      <selection activeCell="E33" sqref="E33:F33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1.14062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style="1" customWidth="1"/>
    <col min="18" max="16384" width="8.7109375" style="1"/>
  </cols>
  <sheetData>
    <row r="1" spans="1:16" ht="11.25" customHeight="1"/>
    <row r="2" spans="1:16" ht="18" customHeight="1">
      <c r="A2" s="3"/>
      <c r="B2" s="22"/>
      <c r="C2" s="13"/>
      <c r="D2" s="13"/>
      <c r="E2" s="13"/>
      <c r="F2" s="13"/>
      <c r="G2" s="13"/>
      <c r="H2" s="13"/>
      <c r="I2" s="13"/>
      <c r="J2" s="14"/>
      <c r="K2" s="13"/>
      <c r="L2" s="14"/>
      <c r="M2" s="185" t="s">
        <v>23</v>
      </c>
      <c r="N2" s="186">
        <v>2013</v>
      </c>
      <c r="O2" s="186"/>
      <c r="P2" s="195">
        <f>CalendarYear</f>
        <v>2020</v>
      </c>
    </row>
    <row r="3" spans="1:16" ht="21" customHeight="1">
      <c r="A3" s="3"/>
      <c r="B3" s="165" t="s">
        <v>13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4"/>
      <c r="K3" s="2"/>
      <c r="L3" s="4"/>
      <c r="M3" s="187"/>
      <c r="N3" s="188"/>
      <c r="O3" s="188"/>
      <c r="P3" s="196"/>
    </row>
    <row r="4" spans="1:16" ht="18" customHeight="1">
      <c r="A4" s="3"/>
      <c r="B4" s="165"/>
      <c r="C4" s="5">
        <f>IF(DAY(MarSun1)=1,MarSun1-6,MarSun1+1)</f>
        <v>43891</v>
      </c>
      <c r="D4" s="5">
        <f>IF(DAY(MarSun1)=1,MarSun1-5,MarSun1+2)</f>
        <v>43892</v>
      </c>
      <c r="E4" s="5">
        <f>IF(DAY(MarSun1)=1,MarSun1-4,MarSun1+3)</f>
        <v>43893</v>
      </c>
      <c r="F4" s="5">
        <f>IF(DAY(MarSun1)=1,MarSun1-3,MarSun1+4)</f>
        <v>43894</v>
      </c>
      <c r="G4" s="5">
        <f>IF(DAY(MarSun1)=1,MarSun1-2,MarSun1+5)</f>
        <v>43895</v>
      </c>
      <c r="H4" s="5">
        <f>IF(DAY(MarSun1)=1,MarSun1-1,MarSun1+6)</f>
        <v>43896</v>
      </c>
      <c r="I4" s="5">
        <f>IF(DAY(MarSun1)=1,MarSun1,MarSun1+7)</f>
        <v>43897</v>
      </c>
      <c r="J4" s="4"/>
      <c r="K4" s="5"/>
      <c r="L4" s="4"/>
      <c r="M4" s="189" t="s">
        <v>26</v>
      </c>
      <c r="N4" s="8"/>
      <c r="O4" s="197"/>
      <c r="P4" s="198"/>
    </row>
    <row r="5" spans="1:16" ht="18" customHeight="1">
      <c r="A5" s="3"/>
      <c r="B5" s="20"/>
      <c r="C5" s="5">
        <f>IF(DAY(MarSun1)=1,MarSun1+1,MarSun1+8)</f>
        <v>43898</v>
      </c>
      <c r="D5" s="5">
        <f>IF(DAY(MarSun1)=1,MarSun1+2,MarSun1+9)</f>
        <v>43899</v>
      </c>
      <c r="E5" s="5">
        <f>IF(DAY(MarSun1)=1,MarSun1+3,MarSun1+10)</f>
        <v>43900</v>
      </c>
      <c r="F5" s="5">
        <f>IF(DAY(MarSun1)=1,MarSun1+4,MarSun1+11)</f>
        <v>43901</v>
      </c>
      <c r="G5" s="5">
        <f>IF(DAY(MarSun1)=1,MarSun1+5,MarSun1+12)</f>
        <v>43902</v>
      </c>
      <c r="H5" s="5">
        <f>IF(DAY(MarSun1)=1,MarSun1+6,MarSun1+13)</f>
        <v>43903</v>
      </c>
      <c r="I5" s="5">
        <f>IF(DAY(MarSun1)=1,MarSun1+7,MarSun1+14)</f>
        <v>43904</v>
      </c>
      <c r="J5" s="4"/>
      <c r="K5" s="5"/>
      <c r="L5" s="4"/>
      <c r="M5" s="184"/>
      <c r="N5" s="9"/>
      <c r="O5" s="159"/>
      <c r="P5" s="160"/>
    </row>
    <row r="6" spans="1:16" ht="18" customHeight="1">
      <c r="A6" s="3"/>
      <c r="B6" s="20"/>
      <c r="C6" s="5">
        <f>IF(DAY(MarSun1)=1,MarSun1+8,MarSun1+15)</f>
        <v>43905</v>
      </c>
      <c r="D6" s="5">
        <f>IF(DAY(MarSun1)=1,MarSun1+9,MarSun1+16)</f>
        <v>43906</v>
      </c>
      <c r="E6" s="5">
        <f>IF(DAY(MarSun1)=1,MarSun1+10,MarSun1+17)</f>
        <v>43907</v>
      </c>
      <c r="F6" s="5">
        <f>IF(DAY(MarSun1)=1,MarSun1+11,MarSun1+18)</f>
        <v>43908</v>
      </c>
      <c r="G6" s="5">
        <f>IF(DAY(MarSun1)=1,MarSun1+12,MarSun1+19)</f>
        <v>43909</v>
      </c>
      <c r="H6" s="5">
        <f>IF(DAY(MarSun1)=1,MarSun1+13,MarSun1+20)</f>
        <v>43910</v>
      </c>
      <c r="I6" s="5">
        <f>IF(DAY(MarSun1)=1,MarSun1+14,MarSun1+21)</f>
        <v>43911</v>
      </c>
      <c r="J6" s="4"/>
      <c r="K6" s="5"/>
      <c r="L6" s="4"/>
      <c r="M6" s="184"/>
      <c r="N6" s="9"/>
      <c r="O6" s="159"/>
      <c r="P6" s="160"/>
    </row>
    <row r="7" spans="1:16" ht="18" customHeight="1">
      <c r="A7" s="3"/>
      <c r="B7" s="20"/>
      <c r="C7" s="5">
        <f>IF(DAY(MarSun1)=1,MarSun1+15,MarSun1+22)</f>
        <v>43912</v>
      </c>
      <c r="D7" s="5">
        <f>IF(DAY(MarSun1)=1,MarSun1+16,MarSun1+23)</f>
        <v>43913</v>
      </c>
      <c r="E7" s="5">
        <f>IF(DAY(MarSun1)=1,MarSun1+17,MarSun1+24)</f>
        <v>43914</v>
      </c>
      <c r="F7" s="5">
        <f>IF(DAY(MarSun1)=1,MarSun1+18,MarSun1+25)</f>
        <v>43915</v>
      </c>
      <c r="G7" s="5">
        <f>IF(DAY(MarSun1)=1,MarSun1+19,MarSun1+26)</f>
        <v>43916</v>
      </c>
      <c r="H7" s="5">
        <f>IF(DAY(MarSun1)=1,MarSun1+20,MarSun1+27)</f>
        <v>43917</v>
      </c>
      <c r="I7" s="5">
        <f>IF(DAY(MarSun1)=1,MarSun1+21,MarSun1+28)</f>
        <v>43918</v>
      </c>
      <c r="J7" s="4"/>
      <c r="K7" s="5"/>
      <c r="L7" s="4"/>
      <c r="M7" s="57"/>
      <c r="N7" s="9"/>
      <c r="O7" s="159"/>
      <c r="P7" s="160"/>
    </row>
    <row r="8" spans="1:16" ht="18.75" customHeight="1">
      <c r="A8" s="3"/>
      <c r="B8" s="20"/>
      <c r="C8" s="5">
        <f>IF(DAY(MarSun1)=1,MarSun1+22,MarSun1+29)</f>
        <v>43919</v>
      </c>
      <c r="D8" s="5">
        <f>IF(DAY(MarSun1)=1,MarSun1+23,MarSun1+30)</f>
        <v>43920</v>
      </c>
      <c r="E8" s="5">
        <f>IF(DAY(MarSun1)=1,MarSun1+24,MarSun1+31)</f>
        <v>43921</v>
      </c>
      <c r="F8" s="5">
        <f>IF(DAY(MarSun1)=1,MarSun1+25,MarSun1+32)</f>
        <v>43922</v>
      </c>
      <c r="G8" s="5">
        <f>IF(DAY(MarSun1)=1,MarSun1+26,MarSun1+33)</f>
        <v>43923</v>
      </c>
      <c r="H8" s="5">
        <f>IF(DAY(MarSun1)=1,MarSun1+27,MarSun1+34)</f>
        <v>43924</v>
      </c>
      <c r="I8" s="5">
        <f>IF(DAY(MarSun1)=1,MarSun1+28,MarSun1+35)</f>
        <v>43925</v>
      </c>
      <c r="J8" s="4"/>
      <c r="K8" s="5"/>
      <c r="L8" s="4"/>
      <c r="M8" s="57"/>
      <c r="N8" s="9"/>
      <c r="O8" s="159"/>
      <c r="P8" s="160"/>
    </row>
    <row r="9" spans="1:16" ht="18" customHeight="1">
      <c r="A9" s="3"/>
      <c r="B9" s="20"/>
      <c r="C9" s="5">
        <f>IF(DAY(MarSun1)=1,MarSun1+29,MarSun1+36)</f>
        <v>43926</v>
      </c>
      <c r="D9" s="5">
        <f>IF(DAY(MarSun1)=1,MarSun1+30,MarSun1+37)</f>
        <v>43927</v>
      </c>
      <c r="E9" s="5">
        <f>IF(DAY(MarSun1)=1,MarSun1+31,MarSun1+38)</f>
        <v>43928</v>
      </c>
      <c r="F9" s="5">
        <f>IF(DAY(MarSun1)=1,MarSun1+32,MarSun1+39)</f>
        <v>43929</v>
      </c>
      <c r="G9" s="5">
        <f>IF(DAY(MarSun1)=1,MarSun1+33,MarSun1+40)</f>
        <v>43930</v>
      </c>
      <c r="H9" s="5">
        <f>IF(DAY(MarSun1)=1,MarSun1+34,MarSun1+41)</f>
        <v>43931</v>
      </c>
      <c r="I9" s="5">
        <f>IF(DAY(MarSun1)=1,MarSun1+35,MarSun1+42)</f>
        <v>43932</v>
      </c>
      <c r="J9" s="4"/>
      <c r="K9" s="5"/>
      <c r="L9" s="4"/>
      <c r="M9" s="58"/>
      <c r="N9" s="10"/>
      <c r="O9" s="161"/>
      <c r="P9" s="162"/>
    </row>
    <row r="10" spans="1:16" ht="18" customHeight="1">
      <c r="A10" s="3"/>
      <c r="B10" s="21"/>
      <c r="C10" s="15"/>
      <c r="D10" s="15"/>
      <c r="E10" s="15"/>
      <c r="F10" s="15"/>
      <c r="G10" s="15"/>
      <c r="H10" s="15"/>
      <c r="I10" s="15"/>
      <c r="J10" s="16"/>
      <c r="K10" s="15"/>
      <c r="L10" s="16"/>
      <c r="M10" s="183" t="s">
        <v>28</v>
      </c>
      <c r="N10" s="8"/>
      <c r="O10" s="172"/>
      <c r="P10" s="173"/>
    </row>
    <row r="11" spans="1:16" ht="18" customHeight="1">
      <c r="A11" s="3"/>
      <c r="B11" s="167" t="s">
        <v>8</v>
      </c>
      <c r="C11" s="168"/>
      <c r="D11" s="168"/>
      <c r="E11" s="168"/>
      <c r="F11" s="168"/>
      <c r="G11" s="168"/>
      <c r="H11" s="168"/>
      <c r="I11" s="168"/>
      <c r="J11" s="169"/>
      <c r="K11" s="23"/>
      <c r="L11" s="23"/>
      <c r="M11" s="184"/>
      <c r="N11" s="9"/>
      <c r="O11" s="159"/>
      <c r="P11" s="160"/>
    </row>
    <row r="12" spans="1:16" ht="18" customHeight="1">
      <c r="A12" s="3"/>
      <c r="B12" s="167"/>
      <c r="C12" s="168"/>
      <c r="D12" s="168"/>
      <c r="E12" s="168"/>
      <c r="F12" s="168"/>
      <c r="G12" s="168"/>
      <c r="H12" s="168"/>
      <c r="I12" s="168"/>
      <c r="J12" s="169"/>
      <c r="K12" s="23"/>
      <c r="L12" s="23"/>
      <c r="M12" s="184"/>
      <c r="N12" s="9"/>
      <c r="O12" s="159"/>
      <c r="P12" s="160"/>
    </row>
    <row r="13" spans="1:16" ht="18" customHeight="1">
      <c r="B13" s="60" t="s">
        <v>25</v>
      </c>
      <c r="C13" s="153" t="s">
        <v>6</v>
      </c>
      <c r="D13" s="154"/>
      <c r="E13" s="153" t="s">
        <v>7</v>
      </c>
      <c r="F13" s="154"/>
      <c r="G13" s="153" t="s">
        <v>9</v>
      </c>
      <c r="H13" s="154"/>
      <c r="I13" s="153" t="s">
        <v>10</v>
      </c>
      <c r="J13" s="154"/>
      <c r="K13" s="80" t="s">
        <v>11</v>
      </c>
      <c r="L13" s="80" t="s">
        <v>24</v>
      </c>
      <c r="M13" s="57"/>
      <c r="N13" s="9"/>
      <c r="O13" s="159"/>
      <c r="P13" s="160"/>
    </row>
    <row r="14" spans="1:16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57"/>
      <c r="N14" s="9"/>
      <c r="O14" s="159"/>
      <c r="P14" s="160"/>
    </row>
    <row r="15" spans="1:16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59"/>
      <c r="N15" s="11"/>
      <c r="O15" s="161"/>
      <c r="P15" s="162"/>
    </row>
    <row r="16" spans="1:16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183" t="s">
        <v>29</v>
      </c>
      <c r="N16" s="8"/>
      <c r="O16" s="172"/>
      <c r="P16" s="173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184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184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57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57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59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183" t="s">
        <v>30</v>
      </c>
      <c r="N22" s="8"/>
      <c r="O22" s="172"/>
      <c r="P22" s="173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184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184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184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57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59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183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184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184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6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</sheetData>
  <mergeCells count="118">
    <mergeCell ref="M10:M12"/>
    <mergeCell ref="P2:P3"/>
    <mergeCell ref="O10:P10"/>
    <mergeCell ref="B11:J12"/>
    <mergeCell ref="O11:P11"/>
    <mergeCell ref="O12:P12"/>
    <mergeCell ref="C13:D13"/>
    <mergeCell ref="E13:F13"/>
    <mergeCell ref="G13:H13"/>
    <mergeCell ref="I13:J13"/>
    <mergeCell ref="O13:P13"/>
    <mergeCell ref="B3:B4"/>
    <mergeCell ref="M2:O3"/>
    <mergeCell ref="M4:M6"/>
    <mergeCell ref="O4:P4"/>
    <mergeCell ref="O5:P5"/>
    <mergeCell ref="O6:P6"/>
    <mergeCell ref="O7:P7"/>
    <mergeCell ref="O8:P8"/>
    <mergeCell ref="O9:P9"/>
    <mergeCell ref="C14:D14"/>
    <mergeCell ref="E14:F14"/>
    <mergeCell ref="G14:H14"/>
    <mergeCell ref="O14:P14"/>
    <mergeCell ref="C15:D15"/>
    <mergeCell ref="E15:F15"/>
    <mergeCell ref="G15:H15"/>
    <mergeCell ref="O15:P15"/>
    <mergeCell ref="I14:J15"/>
    <mergeCell ref="I18:J18"/>
    <mergeCell ref="I19:J19"/>
    <mergeCell ref="O17:P17"/>
    <mergeCell ref="C18:D18"/>
    <mergeCell ref="E18:F18"/>
    <mergeCell ref="G18:H18"/>
    <mergeCell ref="O18:P18"/>
    <mergeCell ref="C16:D16"/>
    <mergeCell ref="E16:F16"/>
    <mergeCell ref="G16:H16"/>
    <mergeCell ref="M16:M18"/>
    <mergeCell ref="O16:P16"/>
    <mergeCell ref="C17:D17"/>
    <mergeCell ref="E17:F17"/>
    <mergeCell ref="G17:H17"/>
    <mergeCell ref="I16:J17"/>
    <mergeCell ref="C19:D19"/>
    <mergeCell ref="E19:F19"/>
    <mergeCell ref="G19:H19"/>
    <mergeCell ref="O19:P19"/>
    <mergeCell ref="C20:D20"/>
    <mergeCell ref="E20:F20"/>
    <mergeCell ref="G20:H20"/>
    <mergeCell ref="O20:P20"/>
    <mergeCell ref="I20:J21"/>
    <mergeCell ref="O22:P22"/>
    <mergeCell ref="C23:D23"/>
    <mergeCell ref="E23:F23"/>
    <mergeCell ref="G23:H23"/>
    <mergeCell ref="O23:P23"/>
    <mergeCell ref="C21:D21"/>
    <mergeCell ref="E21:F21"/>
    <mergeCell ref="G21:H21"/>
    <mergeCell ref="O21:P21"/>
    <mergeCell ref="C22:D22"/>
    <mergeCell ref="E22:F22"/>
    <mergeCell ref="G22:H22"/>
    <mergeCell ref="M22:M25"/>
    <mergeCell ref="C24:D24"/>
    <mergeCell ref="E24:F24"/>
    <mergeCell ref="G24:H24"/>
    <mergeCell ref="O24:P24"/>
    <mergeCell ref="C25:D25"/>
    <mergeCell ref="E25:F25"/>
    <mergeCell ref="G25:H25"/>
    <mergeCell ref="O25:P25"/>
    <mergeCell ref="I24:J25"/>
    <mergeCell ref="I22:J22"/>
    <mergeCell ref="E28:F28"/>
    <mergeCell ref="G28:H28"/>
    <mergeCell ref="M28:M30"/>
    <mergeCell ref="O28:P28"/>
    <mergeCell ref="C29:D29"/>
    <mergeCell ref="E29:F29"/>
    <mergeCell ref="G29:H29"/>
    <mergeCell ref="I28:J29"/>
    <mergeCell ref="C26:D26"/>
    <mergeCell ref="E26:F26"/>
    <mergeCell ref="G26:H26"/>
    <mergeCell ref="O26:P26"/>
    <mergeCell ref="C27:D27"/>
    <mergeCell ref="E27:F27"/>
    <mergeCell ref="G27:H27"/>
    <mergeCell ref="O27:P27"/>
    <mergeCell ref="O29:P29"/>
    <mergeCell ref="I23:J23"/>
    <mergeCell ref="I26:J26"/>
    <mergeCell ref="I27:J27"/>
    <mergeCell ref="C28:D28"/>
    <mergeCell ref="I30:J30"/>
    <mergeCell ref="I31:J31"/>
    <mergeCell ref="I32:J32"/>
    <mergeCell ref="I33:J33"/>
    <mergeCell ref="O33:P33"/>
    <mergeCell ref="C31:D31"/>
    <mergeCell ref="E31:F31"/>
    <mergeCell ref="G31:H31"/>
    <mergeCell ref="O31:P31"/>
    <mergeCell ref="C32:D32"/>
    <mergeCell ref="E32:F32"/>
    <mergeCell ref="G32:H32"/>
    <mergeCell ref="O32:P32"/>
    <mergeCell ref="C33:D33"/>
    <mergeCell ref="E33:F33"/>
    <mergeCell ref="G33:H33"/>
    <mergeCell ref="C30:D30"/>
    <mergeCell ref="E30:F30"/>
    <mergeCell ref="G30:H30"/>
    <mergeCell ref="O30:P30"/>
  </mergeCells>
  <conditionalFormatting sqref="C4:H4">
    <cfRule type="expression" dxfId="159" priority="21" stopIfTrue="1">
      <formula>DAY(C4)&gt;8</formula>
    </cfRule>
  </conditionalFormatting>
  <conditionalFormatting sqref="C8:I10">
    <cfRule type="expression" dxfId="158" priority="20" stopIfTrue="1">
      <formula>AND(DAY(C8)&gt;=1,DAY(C8)&lt;=15)</formula>
    </cfRule>
  </conditionalFormatting>
  <conditionalFormatting sqref="C4:I9">
    <cfRule type="expression" dxfId="157" priority="22">
      <formula>VLOOKUP(DAY(C4),AssignmentDays,1,FALSE)=DAY(C4)</formula>
    </cfRule>
  </conditionalFormatting>
  <conditionalFormatting sqref="B14:I14 B15:C15 B16:I16 B17:H19 B22:H23 B26:H27 B30:H33 K14:L19 E15:H15 K22:L23 K26:L27 K30:L33">
    <cfRule type="expression" dxfId="156" priority="11">
      <formula>B14&lt;&gt;""</formula>
    </cfRule>
  </conditionalFormatting>
  <conditionalFormatting sqref="B20:I20 B21:H21 K20:L21">
    <cfRule type="expression" dxfId="155" priority="10">
      <formula>B20&lt;&gt;""</formula>
    </cfRule>
  </conditionalFormatting>
  <conditionalFormatting sqref="B24:H25 K24:L25">
    <cfRule type="expression" dxfId="154" priority="9">
      <formula>B24&lt;&gt;""</formula>
    </cfRule>
  </conditionalFormatting>
  <conditionalFormatting sqref="B28:H29 K28:L29">
    <cfRule type="expression" dxfId="153" priority="8">
      <formula>B28&lt;&gt;""</formula>
    </cfRule>
  </conditionalFormatting>
  <conditionalFormatting sqref="I18:J19">
    <cfRule type="expression" dxfId="152" priority="7">
      <formula>I18&lt;&gt;""</formula>
    </cfRule>
  </conditionalFormatting>
  <conditionalFormatting sqref="I22:J23">
    <cfRule type="expression" dxfId="151" priority="6">
      <formula>I22&lt;&gt;""</formula>
    </cfRule>
  </conditionalFormatting>
  <conditionalFormatting sqref="I24">
    <cfRule type="expression" dxfId="150" priority="5">
      <formula>I24&lt;&gt;""</formula>
    </cfRule>
  </conditionalFormatting>
  <conditionalFormatting sqref="I28">
    <cfRule type="expression" dxfId="149" priority="4">
      <formula>I28&lt;&gt;""</formula>
    </cfRule>
  </conditionalFormatting>
  <conditionalFormatting sqref="I26:J27">
    <cfRule type="expression" dxfId="148" priority="3">
      <formula>I26&lt;&gt;""</formula>
    </cfRule>
  </conditionalFormatting>
  <conditionalFormatting sqref="I30:J31">
    <cfRule type="expression" dxfId="147" priority="2">
      <formula>I30&lt;&gt;""</formula>
    </cfRule>
  </conditionalFormatting>
  <conditionalFormatting sqref="I32:J33">
    <cfRule type="expression" dxfId="146" priority="1">
      <formula>I32&lt;&gt;""</formula>
    </cfRule>
  </conditionalFormatting>
  <printOptions horizontalCentered="1" verticalCentered="1"/>
  <pageMargins left="0.5" right="0.5" top="0.5" bottom="0.5" header="0.3" footer="0.3"/>
  <pageSetup scale="91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515B1E7D-AF01-AF43-82C2-C79C76B176F1}">
            <xm:f>AND(DAY(Jan!L8)&gt;=1,DAY(Jan!L8)&lt;=15)</xm:f>
            <x14:dxf>
              <font>
                <color theme="0" tint="-0.24994659260841701"/>
              </font>
            </x14:dxf>
          </x14:cfRule>
          <xm:sqref>K8:K10</xm:sqref>
        </x14:conditionalFormatting>
        <x14:conditionalFormatting xmlns:xm="http://schemas.microsoft.com/office/excel/2006/main">
          <x14:cfRule type="expression" priority="18" id="{AE5C4DD3-D4E5-4843-94DF-449FF23A8ED2}">
            <xm:f>VLOOKUP(DAY(Jan!L4),AssignmentDays,1,FALSE)=DAY(Jan!L4)</xm:f>
            <x14:dxf>
              <font>
                <b/>
                <i val="0"/>
                <color theme="1"/>
              </font>
              <fill>
                <patternFill patternType="solid"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K4:K9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4C2CF"/>
  </sheetPr>
  <dimension ref="A1:B22"/>
  <sheetViews>
    <sheetView zoomScale="130" zoomScaleNormal="130" zoomScalePageLayoutView="130" workbookViewId="0">
      <selection sqref="A1:B2"/>
    </sheetView>
  </sheetViews>
  <sheetFormatPr defaultColWidth="11.42578125" defaultRowHeight="15"/>
  <cols>
    <col min="1" max="1" width="20.140625" style="132" bestFit="1" customWidth="1"/>
    <col min="2" max="2" width="21.85546875" customWidth="1"/>
  </cols>
  <sheetData>
    <row r="1" spans="1:2" ht="21" customHeight="1">
      <c r="A1" s="199" t="s">
        <v>85</v>
      </c>
      <c r="B1" s="199"/>
    </row>
    <row r="2" spans="1:2" ht="21" customHeight="1">
      <c r="A2" s="199"/>
      <c r="B2" s="199"/>
    </row>
    <row r="3" spans="1:2" ht="15.75">
      <c r="A3" s="129" t="s">
        <v>69</v>
      </c>
    </row>
    <row r="4" spans="1:2" ht="15.75">
      <c r="A4" s="130" t="s">
        <v>75</v>
      </c>
    </row>
    <row r="5" spans="1:2" ht="15.75">
      <c r="A5" s="130" t="s">
        <v>76</v>
      </c>
    </row>
    <row r="6" spans="1:2" ht="15.75">
      <c r="A6" s="130" t="s">
        <v>77</v>
      </c>
    </row>
    <row r="7" spans="1:2" ht="15.75">
      <c r="A7" s="131"/>
    </row>
    <row r="8" spans="1:2" ht="15.75">
      <c r="A8" s="129" t="s">
        <v>70</v>
      </c>
    </row>
    <row r="9" spans="1:2" ht="15.75">
      <c r="A9" s="130" t="s">
        <v>78</v>
      </c>
    </row>
    <row r="10" spans="1:2" ht="15.75">
      <c r="A10" s="130" t="s">
        <v>76</v>
      </c>
    </row>
    <row r="11" spans="1:2" ht="15.75">
      <c r="A11" s="130" t="s">
        <v>77</v>
      </c>
    </row>
    <row r="12" spans="1:2" ht="15.75">
      <c r="A12" s="131"/>
    </row>
    <row r="13" spans="1:2" ht="15.75">
      <c r="A13" s="129" t="s">
        <v>71</v>
      </c>
    </row>
    <row r="14" spans="1:2" ht="15.75">
      <c r="A14" s="130" t="s">
        <v>79</v>
      </c>
    </row>
    <row r="15" spans="1:2" ht="15.75">
      <c r="A15" s="130" t="s">
        <v>80</v>
      </c>
    </row>
    <row r="16" spans="1:2" ht="15.75">
      <c r="A16" s="130" t="s">
        <v>81</v>
      </c>
    </row>
    <row r="17" spans="1:1" ht="15.75">
      <c r="A17" s="131"/>
    </row>
    <row r="18" spans="1:1" ht="15.75">
      <c r="A18" s="129" t="s">
        <v>72</v>
      </c>
    </row>
    <row r="19" spans="1:1" ht="15.75">
      <c r="A19" s="129"/>
    </row>
    <row r="20" spans="1:1" ht="15.75">
      <c r="A20" s="129" t="s">
        <v>73</v>
      </c>
    </row>
    <row r="21" spans="1:1" ht="15.75">
      <c r="A21" s="129"/>
    </row>
    <row r="22" spans="1:1" ht="15.75">
      <c r="A22" s="129" t="s">
        <v>74</v>
      </c>
    </row>
  </sheetData>
  <mergeCells count="1">
    <mergeCell ref="A1:B2"/>
  </mergeCells>
  <pageMargins left="0.7" right="0.7" top="0.75" bottom="0.75" header="0.3" footer="0.3"/>
  <pageSetup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34C2CF"/>
    <pageSetUpPr fitToPage="1"/>
  </sheetPr>
  <dimension ref="A1:P33"/>
  <sheetViews>
    <sheetView showGridLines="0" workbookViewId="0">
      <selection activeCell="B11" sqref="B11:L13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1.14062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style="1" customWidth="1"/>
    <col min="18" max="16384" width="8.7109375" style="1"/>
  </cols>
  <sheetData>
    <row r="1" spans="1:16" ht="11.25" customHeight="1"/>
    <row r="2" spans="1:16" ht="18" customHeight="1">
      <c r="A2" s="3"/>
      <c r="B2" s="22"/>
      <c r="C2" s="13"/>
      <c r="D2" s="13"/>
      <c r="E2" s="13"/>
      <c r="F2" s="13"/>
      <c r="G2" s="13"/>
      <c r="H2" s="13"/>
      <c r="I2" s="13"/>
      <c r="J2" s="14"/>
      <c r="K2" s="13"/>
      <c r="L2" s="14"/>
      <c r="M2" s="210" t="s">
        <v>23</v>
      </c>
      <c r="N2" s="211">
        <v>2013</v>
      </c>
      <c r="O2" s="211"/>
      <c r="P2" s="202">
        <f>CalendarYear</f>
        <v>2020</v>
      </c>
    </row>
    <row r="3" spans="1:16" ht="21" customHeight="1">
      <c r="A3" s="3"/>
      <c r="B3" s="209" t="s">
        <v>14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4"/>
      <c r="K3" s="2"/>
      <c r="L3" s="4"/>
      <c r="M3" s="212"/>
      <c r="N3" s="213"/>
      <c r="O3" s="213"/>
      <c r="P3" s="203"/>
    </row>
    <row r="4" spans="1:16" ht="18" customHeight="1">
      <c r="A4" s="3"/>
      <c r="B4" s="209"/>
      <c r="C4" s="5">
        <f>IF(DAY(AprSun1)=1,AprSun1-6,AprSun1+1)</f>
        <v>43919</v>
      </c>
      <c r="D4" s="5">
        <f>IF(DAY(AprSun1)=1,AprSun1-5,AprSun1+2)</f>
        <v>43920</v>
      </c>
      <c r="E4" s="5">
        <f>IF(DAY(AprSun1)=1,AprSun1-4,AprSun1+3)</f>
        <v>43921</v>
      </c>
      <c r="F4" s="5">
        <f>IF(DAY(AprSun1)=1,AprSun1-3,AprSun1+4)</f>
        <v>43922</v>
      </c>
      <c r="G4" s="5">
        <f>IF(DAY(AprSun1)=1,AprSun1-2,AprSun1+5)</f>
        <v>43923</v>
      </c>
      <c r="H4" s="5">
        <f>IF(DAY(AprSun1)=1,AprSun1-1,AprSun1+6)</f>
        <v>43924</v>
      </c>
      <c r="I4" s="5">
        <f>IF(DAY(AprSun1)=1,AprSun1,AprSun1+7)</f>
        <v>43925</v>
      </c>
      <c r="J4" s="4"/>
      <c r="K4" s="5"/>
      <c r="L4" s="4"/>
      <c r="M4" s="214" t="s">
        <v>26</v>
      </c>
      <c r="N4" s="8"/>
      <c r="O4" s="197"/>
      <c r="P4" s="198"/>
    </row>
    <row r="5" spans="1:16" ht="18" customHeight="1">
      <c r="A5" s="3"/>
      <c r="B5" s="20"/>
      <c r="C5" s="5">
        <f>IF(DAY(AprSun1)=1,AprSun1+1,AprSun1+8)</f>
        <v>43926</v>
      </c>
      <c r="D5" s="5">
        <f>IF(DAY(AprSun1)=1,AprSun1+2,AprSun1+9)</f>
        <v>43927</v>
      </c>
      <c r="E5" s="5">
        <f>IF(DAY(AprSun1)=1,AprSun1+3,AprSun1+10)</f>
        <v>43928</v>
      </c>
      <c r="F5" s="5">
        <f>IF(DAY(AprSun1)=1,AprSun1+4,AprSun1+11)</f>
        <v>43929</v>
      </c>
      <c r="G5" s="5">
        <f>IF(DAY(AprSun1)=1,AprSun1+5,AprSun1+12)</f>
        <v>43930</v>
      </c>
      <c r="H5" s="5">
        <f>IF(DAY(AprSun1)=1,AprSun1+6,AprSun1+13)</f>
        <v>43931</v>
      </c>
      <c r="I5" s="5">
        <f>IF(DAY(AprSun1)=1,AprSun1+7,AprSun1+14)</f>
        <v>43932</v>
      </c>
      <c r="J5" s="4"/>
      <c r="K5" s="5"/>
      <c r="L5" s="4"/>
      <c r="M5" s="201"/>
      <c r="N5" s="9"/>
      <c r="O5" s="159"/>
      <c r="P5" s="160"/>
    </row>
    <row r="6" spans="1:16" ht="18" customHeight="1">
      <c r="A6" s="3"/>
      <c r="B6" s="20"/>
      <c r="C6" s="5">
        <f>IF(DAY(AprSun1)=1,AprSun1+8,AprSun1+15)</f>
        <v>43933</v>
      </c>
      <c r="D6" s="5">
        <f>IF(DAY(AprSun1)=1,AprSun1+9,AprSun1+16)</f>
        <v>43934</v>
      </c>
      <c r="E6" s="5">
        <f>IF(DAY(AprSun1)=1,AprSun1+10,AprSun1+17)</f>
        <v>43935</v>
      </c>
      <c r="F6" s="5">
        <f>IF(DAY(AprSun1)=1,AprSun1+11,AprSun1+18)</f>
        <v>43936</v>
      </c>
      <c r="G6" s="5">
        <f>IF(DAY(AprSun1)=1,AprSun1+12,AprSun1+19)</f>
        <v>43937</v>
      </c>
      <c r="H6" s="5">
        <f>IF(DAY(AprSun1)=1,AprSun1+13,AprSun1+20)</f>
        <v>43938</v>
      </c>
      <c r="I6" s="5">
        <f>IF(DAY(AprSun1)=1,AprSun1+14,AprSun1+21)</f>
        <v>43939</v>
      </c>
      <c r="J6" s="4"/>
      <c r="K6" s="5"/>
      <c r="L6" s="4"/>
      <c r="M6" s="201"/>
      <c r="N6" s="9"/>
      <c r="O6" s="159"/>
      <c r="P6" s="160"/>
    </row>
    <row r="7" spans="1:16" ht="18" customHeight="1">
      <c r="A7" s="3"/>
      <c r="B7" s="20"/>
      <c r="C7" s="5">
        <f>IF(DAY(AprSun1)=1,AprSun1+15,AprSun1+22)</f>
        <v>43940</v>
      </c>
      <c r="D7" s="5">
        <f>IF(DAY(AprSun1)=1,AprSun1+16,AprSun1+23)</f>
        <v>43941</v>
      </c>
      <c r="E7" s="5">
        <f>IF(DAY(AprSun1)=1,AprSun1+17,AprSun1+24)</f>
        <v>43942</v>
      </c>
      <c r="F7" s="5">
        <f>IF(DAY(AprSun1)=1,AprSun1+18,AprSun1+25)</f>
        <v>43943</v>
      </c>
      <c r="G7" s="5">
        <f>IF(DAY(AprSun1)=1,AprSun1+19,AprSun1+26)</f>
        <v>43944</v>
      </c>
      <c r="H7" s="5">
        <f>IF(DAY(AprSun1)=1,AprSun1+20,AprSun1+27)</f>
        <v>43945</v>
      </c>
      <c r="I7" s="5">
        <f>IF(DAY(AprSun1)=1,AprSun1+21,AprSun1+28)</f>
        <v>43946</v>
      </c>
      <c r="J7" s="4"/>
      <c r="K7" s="5"/>
      <c r="L7" s="4"/>
      <c r="M7" s="107"/>
      <c r="N7" s="9"/>
      <c r="O7" s="159"/>
      <c r="P7" s="160"/>
    </row>
    <row r="8" spans="1:16" ht="18.75" customHeight="1">
      <c r="A8" s="3"/>
      <c r="B8" s="20"/>
      <c r="C8" s="5">
        <f>IF(DAY(AprSun1)=1,AprSun1+22,AprSun1+29)</f>
        <v>43947</v>
      </c>
      <c r="D8" s="5">
        <f>IF(DAY(AprSun1)=1,AprSun1+23,AprSun1+30)</f>
        <v>43948</v>
      </c>
      <c r="E8" s="5">
        <f>IF(DAY(AprSun1)=1,AprSun1+24,AprSun1+31)</f>
        <v>43949</v>
      </c>
      <c r="F8" s="5">
        <f>IF(DAY(AprSun1)=1,AprSun1+25,AprSun1+32)</f>
        <v>43950</v>
      </c>
      <c r="G8" s="5">
        <f>IF(DAY(AprSun1)=1,AprSun1+26,AprSun1+33)</f>
        <v>43951</v>
      </c>
      <c r="H8" s="5">
        <f>IF(DAY(AprSun1)=1,AprSun1+27,AprSun1+34)</f>
        <v>43952</v>
      </c>
      <c r="I8" s="5">
        <f>IF(DAY(AprSun1)=1,AprSun1+28,AprSun1+35)</f>
        <v>43953</v>
      </c>
      <c r="J8" s="4"/>
      <c r="K8" s="5"/>
      <c r="L8" s="4"/>
      <c r="M8" s="107"/>
      <c r="N8" s="9"/>
      <c r="O8" s="159"/>
      <c r="P8" s="160"/>
    </row>
    <row r="9" spans="1:16" ht="18" customHeight="1">
      <c r="A9" s="3"/>
      <c r="B9" s="20"/>
      <c r="C9" s="5">
        <f>IF(DAY(AprSun1)=1,AprSun1+29,AprSun1+36)</f>
        <v>43954</v>
      </c>
      <c r="D9" s="5">
        <f>IF(DAY(AprSun1)=1,AprSun1+30,AprSun1+37)</f>
        <v>43955</v>
      </c>
      <c r="E9" s="5">
        <f>IF(DAY(AprSun1)=1,AprSun1+31,AprSun1+38)</f>
        <v>43956</v>
      </c>
      <c r="F9" s="5">
        <f>IF(DAY(AprSun1)=1,AprSun1+32,AprSun1+39)</f>
        <v>43957</v>
      </c>
      <c r="G9" s="5">
        <f>IF(DAY(AprSun1)=1,AprSun1+33,AprSun1+40)</f>
        <v>43958</v>
      </c>
      <c r="H9" s="5">
        <f>IF(DAY(AprSun1)=1,AprSun1+34,AprSun1+41)</f>
        <v>43959</v>
      </c>
      <c r="I9" s="5">
        <f>IF(DAY(AprSun1)=1,AprSun1+35,AprSun1+42)</f>
        <v>43960</v>
      </c>
      <c r="J9" s="4"/>
      <c r="K9" s="5"/>
      <c r="L9" s="4"/>
      <c r="M9" s="108"/>
      <c r="N9" s="10"/>
      <c r="O9" s="161"/>
      <c r="P9" s="162"/>
    </row>
    <row r="10" spans="1:16" ht="18" customHeight="1">
      <c r="A10" s="3"/>
      <c r="B10" s="21"/>
      <c r="C10" s="15"/>
      <c r="D10" s="15"/>
      <c r="E10" s="15"/>
      <c r="F10" s="15"/>
      <c r="G10" s="15"/>
      <c r="H10" s="15"/>
      <c r="I10" s="15"/>
      <c r="J10" s="16"/>
      <c r="K10" s="15"/>
      <c r="L10" s="16"/>
      <c r="M10" s="200" t="s">
        <v>28</v>
      </c>
      <c r="N10" s="8"/>
      <c r="O10" s="172"/>
      <c r="P10" s="173"/>
    </row>
    <row r="11" spans="1:16" ht="18" customHeight="1">
      <c r="A11" s="3"/>
      <c r="B11" s="204" t="s">
        <v>8</v>
      </c>
      <c r="C11" s="205"/>
      <c r="D11" s="205"/>
      <c r="E11" s="205"/>
      <c r="F11" s="205"/>
      <c r="G11" s="205"/>
      <c r="H11" s="205"/>
      <c r="I11" s="205"/>
      <c r="J11" s="206"/>
      <c r="K11" s="23"/>
      <c r="L11" s="23"/>
      <c r="M11" s="201"/>
      <c r="N11" s="9"/>
      <c r="O11" s="159"/>
      <c r="P11" s="160"/>
    </row>
    <row r="12" spans="1:16" ht="18" customHeight="1">
      <c r="A12" s="3"/>
      <c r="B12" s="204"/>
      <c r="C12" s="205"/>
      <c r="D12" s="205"/>
      <c r="E12" s="205"/>
      <c r="F12" s="205"/>
      <c r="G12" s="205"/>
      <c r="H12" s="205"/>
      <c r="I12" s="205"/>
      <c r="J12" s="206"/>
      <c r="K12" s="23"/>
      <c r="L12" s="23"/>
      <c r="M12" s="201"/>
      <c r="N12" s="9"/>
      <c r="O12" s="159"/>
      <c r="P12" s="160"/>
    </row>
    <row r="13" spans="1:16" ht="18" customHeight="1">
      <c r="B13" s="111" t="s">
        <v>25</v>
      </c>
      <c r="C13" s="207" t="s">
        <v>6</v>
      </c>
      <c r="D13" s="208"/>
      <c r="E13" s="207" t="s">
        <v>7</v>
      </c>
      <c r="F13" s="208"/>
      <c r="G13" s="207" t="s">
        <v>9</v>
      </c>
      <c r="H13" s="208"/>
      <c r="I13" s="207" t="s">
        <v>10</v>
      </c>
      <c r="J13" s="208"/>
      <c r="K13" s="112" t="s">
        <v>11</v>
      </c>
      <c r="L13" s="112" t="s">
        <v>24</v>
      </c>
      <c r="M13" s="107"/>
      <c r="N13" s="9"/>
      <c r="O13" s="159"/>
      <c r="P13" s="160"/>
    </row>
    <row r="14" spans="1:16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107"/>
      <c r="N14" s="9"/>
      <c r="O14" s="159"/>
      <c r="P14" s="160"/>
    </row>
    <row r="15" spans="1:16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109"/>
      <c r="N15" s="11"/>
      <c r="O15" s="161"/>
      <c r="P15" s="162"/>
    </row>
    <row r="16" spans="1:16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200" t="s">
        <v>29</v>
      </c>
      <c r="N16" s="8"/>
      <c r="O16" s="172"/>
      <c r="P16" s="173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201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201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107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107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109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200" t="s">
        <v>30</v>
      </c>
      <c r="N22" s="8"/>
      <c r="O22" s="172"/>
      <c r="P22" s="173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201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201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201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107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109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200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201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201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110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</sheetData>
  <mergeCells count="118">
    <mergeCell ref="M10:M12"/>
    <mergeCell ref="P2:P3"/>
    <mergeCell ref="O10:P10"/>
    <mergeCell ref="B11:J12"/>
    <mergeCell ref="O11:P11"/>
    <mergeCell ref="O12:P12"/>
    <mergeCell ref="C13:D13"/>
    <mergeCell ref="E13:F13"/>
    <mergeCell ref="G13:H13"/>
    <mergeCell ref="I13:J13"/>
    <mergeCell ref="O13:P13"/>
    <mergeCell ref="B3:B4"/>
    <mergeCell ref="M2:O3"/>
    <mergeCell ref="M4:M6"/>
    <mergeCell ref="O4:P4"/>
    <mergeCell ref="O5:P5"/>
    <mergeCell ref="O6:P6"/>
    <mergeCell ref="O7:P7"/>
    <mergeCell ref="O8:P8"/>
    <mergeCell ref="O9:P9"/>
    <mergeCell ref="C14:D14"/>
    <mergeCell ref="E14:F14"/>
    <mergeCell ref="G14:H14"/>
    <mergeCell ref="O14:P14"/>
    <mergeCell ref="C15:D15"/>
    <mergeCell ref="E15:F15"/>
    <mergeCell ref="G15:H15"/>
    <mergeCell ref="O15:P15"/>
    <mergeCell ref="I14:J15"/>
    <mergeCell ref="I18:J18"/>
    <mergeCell ref="I19:J19"/>
    <mergeCell ref="O17:P17"/>
    <mergeCell ref="C18:D18"/>
    <mergeCell ref="E18:F18"/>
    <mergeCell ref="G18:H18"/>
    <mergeCell ref="O18:P18"/>
    <mergeCell ref="C16:D16"/>
    <mergeCell ref="E16:F16"/>
    <mergeCell ref="G16:H16"/>
    <mergeCell ref="M16:M18"/>
    <mergeCell ref="O16:P16"/>
    <mergeCell ref="C17:D17"/>
    <mergeCell ref="E17:F17"/>
    <mergeCell ref="G17:H17"/>
    <mergeCell ref="I16:J17"/>
    <mergeCell ref="C19:D19"/>
    <mergeCell ref="E19:F19"/>
    <mergeCell ref="G19:H19"/>
    <mergeCell ref="O19:P19"/>
    <mergeCell ref="C20:D20"/>
    <mergeCell ref="E20:F20"/>
    <mergeCell ref="G20:H20"/>
    <mergeCell ref="O20:P20"/>
    <mergeCell ref="I20:J21"/>
    <mergeCell ref="O22:P22"/>
    <mergeCell ref="C23:D23"/>
    <mergeCell ref="E23:F23"/>
    <mergeCell ref="G23:H23"/>
    <mergeCell ref="O23:P23"/>
    <mergeCell ref="C21:D21"/>
    <mergeCell ref="E21:F21"/>
    <mergeCell ref="G21:H21"/>
    <mergeCell ref="O21:P21"/>
    <mergeCell ref="C22:D22"/>
    <mergeCell ref="E22:F22"/>
    <mergeCell ref="G22:H22"/>
    <mergeCell ref="M22:M25"/>
    <mergeCell ref="C24:D24"/>
    <mergeCell ref="E24:F24"/>
    <mergeCell ref="G24:H24"/>
    <mergeCell ref="O24:P24"/>
    <mergeCell ref="C25:D25"/>
    <mergeCell ref="E25:F25"/>
    <mergeCell ref="G25:H25"/>
    <mergeCell ref="O25:P25"/>
    <mergeCell ref="I24:J25"/>
    <mergeCell ref="I22:J22"/>
    <mergeCell ref="E28:F28"/>
    <mergeCell ref="G28:H28"/>
    <mergeCell ref="M28:M30"/>
    <mergeCell ref="O28:P28"/>
    <mergeCell ref="C29:D29"/>
    <mergeCell ref="E29:F29"/>
    <mergeCell ref="G29:H29"/>
    <mergeCell ref="I28:J29"/>
    <mergeCell ref="C26:D26"/>
    <mergeCell ref="E26:F26"/>
    <mergeCell ref="G26:H26"/>
    <mergeCell ref="O26:P26"/>
    <mergeCell ref="C27:D27"/>
    <mergeCell ref="E27:F27"/>
    <mergeCell ref="G27:H27"/>
    <mergeCell ref="O27:P27"/>
    <mergeCell ref="O29:P29"/>
    <mergeCell ref="I23:J23"/>
    <mergeCell ref="I26:J26"/>
    <mergeCell ref="I27:J27"/>
    <mergeCell ref="C28:D28"/>
    <mergeCell ref="I30:J30"/>
    <mergeCell ref="I31:J31"/>
    <mergeCell ref="I32:J32"/>
    <mergeCell ref="I33:J33"/>
    <mergeCell ref="O33:P33"/>
    <mergeCell ref="C31:D31"/>
    <mergeCell ref="E31:F31"/>
    <mergeCell ref="G31:H31"/>
    <mergeCell ref="O31:P31"/>
    <mergeCell ref="C32:D32"/>
    <mergeCell ref="E32:F32"/>
    <mergeCell ref="G32:H32"/>
    <mergeCell ref="O32:P32"/>
    <mergeCell ref="C33:D33"/>
    <mergeCell ref="E33:F33"/>
    <mergeCell ref="G33:H33"/>
    <mergeCell ref="C30:D30"/>
    <mergeCell ref="E30:F30"/>
    <mergeCell ref="G30:H30"/>
    <mergeCell ref="O30:P30"/>
  </mergeCells>
  <conditionalFormatting sqref="C4:H4">
    <cfRule type="expression" dxfId="143" priority="21" stopIfTrue="1">
      <formula>DAY(C4)&gt;8</formula>
    </cfRule>
  </conditionalFormatting>
  <conditionalFormatting sqref="C8:I10">
    <cfRule type="expression" dxfId="142" priority="20" stopIfTrue="1">
      <formula>AND(DAY(C8)&gt;=1,DAY(C8)&lt;=15)</formula>
    </cfRule>
  </conditionalFormatting>
  <conditionalFormatting sqref="C4:I9">
    <cfRule type="expression" dxfId="141" priority="22">
      <formula>VLOOKUP(DAY(C4),AssignmentDays,1,FALSE)=DAY(C4)</formula>
    </cfRule>
  </conditionalFormatting>
  <conditionalFormatting sqref="B14:I14 B15:C15 B16:I16 B17:H19 B22:H23 B26:H27 B30:H33 K14:L19 E15:H15 K22:L23 K26:L27 K30:L33">
    <cfRule type="expression" dxfId="140" priority="11">
      <formula>B14&lt;&gt;""</formula>
    </cfRule>
  </conditionalFormatting>
  <conditionalFormatting sqref="B20:I20 B21:H21 K20:L21">
    <cfRule type="expression" dxfId="139" priority="10">
      <formula>B20&lt;&gt;""</formula>
    </cfRule>
  </conditionalFormatting>
  <conditionalFormatting sqref="B24:H25 K24:L25">
    <cfRule type="expression" dxfId="138" priority="9">
      <formula>B24&lt;&gt;""</formula>
    </cfRule>
  </conditionalFormatting>
  <conditionalFormatting sqref="B28:H29 K28:L29">
    <cfRule type="expression" dxfId="137" priority="8">
      <formula>B28&lt;&gt;""</formula>
    </cfRule>
  </conditionalFormatting>
  <conditionalFormatting sqref="I18:J19">
    <cfRule type="expression" dxfId="136" priority="7">
      <formula>I18&lt;&gt;""</formula>
    </cfRule>
  </conditionalFormatting>
  <conditionalFormatting sqref="I22:J23">
    <cfRule type="expression" dxfId="135" priority="6">
      <formula>I22&lt;&gt;""</formula>
    </cfRule>
  </conditionalFormatting>
  <conditionalFormatting sqref="I24">
    <cfRule type="expression" dxfId="134" priority="5">
      <formula>I24&lt;&gt;""</formula>
    </cfRule>
  </conditionalFormatting>
  <conditionalFormatting sqref="I28">
    <cfRule type="expression" dxfId="133" priority="4">
      <formula>I28&lt;&gt;""</formula>
    </cfRule>
  </conditionalFormatting>
  <conditionalFormatting sqref="I26:J27">
    <cfRule type="expression" dxfId="132" priority="3">
      <formula>I26&lt;&gt;""</formula>
    </cfRule>
  </conditionalFormatting>
  <conditionalFormatting sqref="I30:J31">
    <cfRule type="expression" dxfId="131" priority="2">
      <formula>I30&lt;&gt;""</formula>
    </cfRule>
  </conditionalFormatting>
  <conditionalFormatting sqref="I32:J33">
    <cfRule type="expression" dxfId="130" priority="1">
      <formula>I32&lt;&gt;""</formula>
    </cfRule>
  </conditionalFormatting>
  <printOptions horizontalCentered="1" verticalCentered="1"/>
  <pageMargins left="0.5" right="0.5" top="0.5" bottom="0.5" header="0.3" footer="0.3"/>
  <pageSetup scale="91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7F167D30-6DE8-EE45-856F-841F7522BE1D}">
            <xm:f>AND(DAY(Jan!L8)&gt;=1,DAY(Jan!L8)&lt;=15)</xm:f>
            <x14:dxf>
              <font>
                <color theme="0" tint="-0.24994659260841701"/>
              </font>
            </x14:dxf>
          </x14:cfRule>
          <xm:sqref>K8:K10</xm:sqref>
        </x14:conditionalFormatting>
        <x14:conditionalFormatting xmlns:xm="http://schemas.microsoft.com/office/excel/2006/main">
          <x14:cfRule type="expression" priority="18" id="{324C87F8-03F4-9D45-B531-DAC1A0FFBF01}">
            <xm:f>VLOOKUP(DAY(Jan!L4),AssignmentDays,1,FALSE)=DAY(Jan!L4)</xm:f>
            <x14:dxf>
              <font>
                <b/>
                <i val="0"/>
                <color theme="1"/>
              </font>
              <fill>
                <patternFill patternType="solid"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K4:K9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34C2CF"/>
    <pageSetUpPr fitToPage="1"/>
  </sheetPr>
  <dimension ref="A1:P33"/>
  <sheetViews>
    <sheetView showGridLines="0" workbookViewId="0">
      <selection activeCell="B17" sqref="B17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13" style="1" customWidth="1"/>
    <col min="12" max="12" width="11.140625" style="1" customWidth="1"/>
    <col min="13" max="13" width="7.28515625" style="1" customWidth="1"/>
    <col min="14" max="14" width="3.85546875" customWidth="1"/>
    <col min="15" max="15" width="51.42578125" style="1" customWidth="1"/>
    <col min="16" max="16" width="10.7109375" style="1" customWidth="1"/>
    <col min="17" max="17" width="2.28515625" style="1" customWidth="1"/>
    <col min="18" max="16384" width="8.7109375" style="1"/>
  </cols>
  <sheetData>
    <row r="1" spans="1:16" ht="11.25" customHeight="1"/>
    <row r="2" spans="1:16" ht="18" customHeight="1">
      <c r="A2" s="3"/>
      <c r="B2" s="22"/>
      <c r="C2" s="13"/>
      <c r="D2" s="13"/>
      <c r="E2" s="13"/>
      <c r="F2" s="13"/>
      <c r="G2" s="13"/>
      <c r="H2" s="13"/>
      <c r="I2" s="13"/>
      <c r="J2" s="14"/>
      <c r="K2" s="13"/>
      <c r="L2" s="14"/>
      <c r="M2" s="210" t="s">
        <v>23</v>
      </c>
      <c r="N2" s="211">
        <v>2013</v>
      </c>
      <c r="O2" s="211"/>
      <c r="P2" s="202">
        <f>CalendarYear</f>
        <v>2020</v>
      </c>
    </row>
    <row r="3" spans="1:16" ht="21" customHeight="1">
      <c r="A3" s="3"/>
      <c r="B3" s="209" t="s">
        <v>15</v>
      </c>
      <c r="C3" s="2" t="s">
        <v>5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5</v>
      </c>
      <c r="J3" s="4"/>
      <c r="K3" s="2"/>
      <c r="L3" s="4"/>
      <c r="M3" s="212"/>
      <c r="N3" s="213"/>
      <c r="O3" s="213"/>
      <c r="P3" s="203"/>
    </row>
    <row r="4" spans="1:16" ht="18" customHeight="1">
      <c r="A4" s="3"/>
      <c r="B4" s="209"/>
      <c r="C4" s="5">
        <f>IF(DAY(MaySun1)=1,MaySun1-6,MaySun1+1)</f>
        <v>43947</v>
      </c>
      <c r="D4" s="5">
        <f>IF(DAY(MaySun1)=1,MaySun1-5,MaySun1+2)</f>
        <v>43948</v>
      </c>
      <c r="E4" s="5">
        <f>IF(DAY(MaySun1)=1,MaySun1-4,MaySun1+3)</f>
        <v>43949</v>
      </c>
      <c r="F4" s="5">
        <f>IF(DAY(MaySun1)=1,MaySun1-3,MaySun1+4)</f>
        <v>43950</v>
      </c>
      <c r="G4" s="5">
        <f>IF(DAY(MaySun1)=1,MaySun1-2,MaySun1+5)</f>
        <v>43951</v>
      </c>
      <c r="H4" s="5">
        <f>IF(DAY(MaySun1)=1,MaySun1-1,MaySun1+6)</f>
        <v>43952</v>
      </c>
      <c r="I4" s="5">
        <f>IF(DAY(MaySun1)=1,MaySun1,MaySun1+7)</f>
        <v>43953</v>
      </c>
      <c r="J4" s="4"/>
      <c r="K4" s="5"/>
      <c r="L4" s="4"/>
      <c r="M4" s="214" t="s">
        <v>26</v>
      </c>
      <c r="N4" s="8"/>
      <c r="O4" s="197"/>
      <c r="P4" s="198"/>
    </row>
    <row r="5" spans="1:16" ht="18" customHeight="1">
      <c r="A5" s="3"/>
      <c r="B5" s="20"/>
      <c r="C5" s="5">
        <f>IF(DAY(MaySun1)=1,MaySun1+1,MaySun1+8)</f>
        <v>43954</v>
      </c>
      <c r="D5" s="5">
        <f>IF(DAY(MaySun1)=1,MaySun1+2,MaySun1+9)</f>
        <v>43955</v>
      </c>
      <c r="E5" s="5">
        <f>IF(DAY(MaySun1)=1,MaySun1+3,MaySun1+10)</f>
        <v>43956</v>
      </c>
      <c r="F5" s="5">
        <f>IF(DAY(MaySun1)=1,MaySun1+4,MaySun1+11)</f>
        <v>43957</v>
      </c>
      <c r="G5" s="5">
        <f>IF(DAY(MaySun1)=1,MaySun1+5,MaySun1+12)</f>
        <v>43958</v>
      </c>
      <c r="H5" s="5">
        <f>IF(DAY(MaySun1)=1,MaySun1+6,MaySun1+13)</f>
        <v>43959</v>
      </c>
      <c r="I5" s="5">
        <f>IF(DAY(MaySun1)=1,MaySun1+7,MaySun1+14)</f>
        <v>43960</v>
      </c>
      <c r="J5" s="4"/>
      <c r="K5" s="5"/>
      <c r="L5" s="4"/>
      <c r="M5" s="201"/>
      <c r="N5" s="9"/>
      <c r="O5" s="159"/>
      <c r="P5" s="160"/>
    </row>
    <row r="6" spans="1:16" ht="18" customHeight="1">
      <c r="A6" s="3"/>
      <c r="B6" s="20"/>
      <c r="C6" s="5">
        <f>IF(DAY(MaySun1)=1,MaySun1+8,MaySun1+15)</f>
        <v>43961</v>
      </c>
      <c r="D6" s="5">
        <f>IF(DAY(MaySun1)=1,MaySun1+9,MaySun1+16)</f>
        <v>43962</v>
      </c>
      <c r="E6" s="5">
        <f>IF(DAY(MaySun1)=1,MaySun1+10,MaySun1+17)</f>
        <v>43963</v>
      </c>
      <c r="F6" s="5">
        <f>IF(DAY(MaySun1)=1,MaySun1+11,MaySun1+18)</f>
        <v>43964</v>
      </c>
      <c r="G6" s="5">
        <f>IF(DAY(MaySun1)=1,MaySun1+12,MaySun1+19)</f>
        <v>43965</v>
      </c>
      <c r="H6" s="5">
        <f>IF(DAY(MaySun1)=1,MaySun1+13,MaySun1+20)</f>
        <v>43966</v>
      </c>
      <c r="I6" s="5">
        <f>IF(DAY(MaySun1)=1,MaySun1+14,MaySun1+21)</f>
        <v>43967</v>
      </c>
      <c r="J6" s="4"/>
      <c r="K6" s="5"/>
      <c r="L6" s="4"/>
      <c r="M6" s="201"/>
      <c r="N6" s="9"/>
      <c r="O6" s="159"/>
      <c r="P6" s="160"/>
    </row>
    <row r="7" spans="1:16" ht="18" customHeight="1">
      <c r="A7" s="3"/>
      <c r="B7" s="20"/>
      <c r="C7" s="5">
        <f>IF(DAY(MaySun1)=1,MaySun1+15,MaySun1+22)</f>
        <v>43968</v>
      </c>
      <c r="D7" s="5">
        <f>IF(DAY(MaySun1)=1,MaySun1+16,MaySun1+23)</f>
        <v>43969</v>
      </c>
      <c r="E7" s="5">
        <f>IF(DAY(MaySun1)=1,MaySun1+17,MaySun1+24)</f>
        <v>43970</v>
      </c>
      <c r="F7" s="5">
        <f>IF(DAY(MaySun1)=1,MaySun1+18,MaySun1+25)</f>
        <v>43971</v>
      </c>
      <c r="G7" s="5">
        <f>IF(DAY(MaySun1)=1,MaySun1+19,MaySun1+26)</f>
        <v>43972</v>
      </c>
      <c r="H7" s="5">
        <f>IF(DAY(MaySun1)=1,MaySun1+20,MaySun1+27)</f>
        <v>43973</v>
      </c>
      <c r="I7" s="5">
        <f>IF(DAY(MaySun1)=1,MaySun1+21,MaySun1+28)</f>
        <v>43974</v>
      </c>
      <c r="J7" s="4"/>
      <c r="K7" s="5"/>
      <c r="L7" s="4"/>
      <c r="M7" s="107"/>
      <c r="N7" s="9"/>
      <c r="O7" s="159"/>
      <c r="P7" s="160"/>
    </row>
    <row r="8" spans="1:16" ht="18.75" customHeight="1">
      <c r="A8" s="3"/>
      <c r="B8" s="20"/>
      <c r="C8" s="5">
        <f>IF(DAY(MaySun1)=1,MaySun1+22,MaySun1+29)</f>
        <v>43975</v>
      </c>
      <c r="D8" s="5">
        <f>IF(DAY(MaySun1)=1,MaySun1+23,MaySun1+30)</f>
        <v>43976</v>
      </c>
      <c r="E8" s="5">
        <f>IF(DAY(MaySun1)=1,MaySun1+24,MaySun1+31)</f>
        <v>43977</v>
      </c>
      <c r="F8" s="5">
        <f>IF(DAY(MaySun1)=1,MaySun1+25,MaySun1+32)</f>
        <v>43978</v>
      </c>
      <c r="G8" s="5">
        <f>IF(DAY(MaySun1)=1,MaySun1+26,MaySun1+33)</f>
        <v>43979</v>
      </c>
      <c r="H8" s="5">
        <f>IF(DAY(MaySun1)=1,MaySun1+27,MaySun1+34)</f>
        <v>43980</v>
      </c>
      <c r="I8" s="5">
        <f>IF(DAY(MaySun1)=1,MaySun1+28,MaySun1+35)</f>
        <v>43981</v>
      </c>
      <c r="J8" s="4"/>
      <c r="K8" s="5"/>
      <c r="L8" s="4"/>
      <c r="M8" s="107"/>
      <c r="N8" s="9"/>
      <c r="O8" s="159"/>
      <c r="P8" s="160"/>
    </row>
    <row r="9" spans="1:16" ht="18" customHeight="1">
      <c r="A9" s="3"/>
      <c r="B9" s="20"/>
      <c r="C9" s="5">
        <f>IF(DAY(MaySun1)=1,MaySun1+29,MaySun1+36)</f>
        <v>43982</v>
      </c>
      <c r="D9" s="5">
        <f>IF(DAY(MaySun1)=1,MaySun1+30,MaySun1+37)</f>
        <v>43983</v>
      </c>
      <c r="E9" s="5">
        <f>IF(DAY(MaySun1)=1,MaySun1+31,MaySun1+38)</f>
        <v>43984</v>
      </c>
      <c r="F9" s="5">
        <f>IF(DAY(MaySun1)=1,MaySun1+32,MaySun1+39)</f>
        <v>43985</v>
      </c>
      <c r="G9" s="5">
        <f>IF(DAY(MaySun1)=1,MaySun1+33,MaySun1+40)</f>
        <v>43986</v>
      </c>
      <c r="H9" s="5">
        <f>IF(DAY(MaySun1)=1,MaySun1+34,MaySun1+41)</f>
        <v>43987</v>
      </c>
      <c r="I9" s="5">
        <f>IF(DAY(MaySun1)=1,MaySun1+35,MaySun1+42)</f>
        <v>43988</v>
      </c>
      <c r="J9" s="4"/>
      <c r="K9" s="5"/>
      <c r="L9" s="4"/>
      <c r="M9" s="108"/>
      <c r="N9" s="10"/>
      <c r="O9" s="161"/>
      <c r="P9" s="162"/>
    </row>
    <row r="10" spans="1:16" ht="18" customHeight="1">
      <c r="A10" s="3"/>
      <c r="B10" s="21"/>
      <c r="C10" s="15"/>
      <c r="D10" s="15"/>
      <c r="E10" s="15"/>
      <c r="F10" s="15"/>
      <c r="G10" s="15"/>
      <c r="H10" s="15"/>
      <c r="I10" s="15"/>
      <c r="J10" s="16"/>
      <c r="K10" s="15"/>
      <c r="L10" s="16"/>
      <c r="M10" s="200" t="s">
        <v>28</v>
      </c>
      <c r="N10" s="8"/>
      <c r="O10" s="172"/>
      <c r="P10" s="173"/>
    </row>
    <row r="11" spans="1:16" ht="18" customHeight="1">
      <c r="A11" s="3"/>
      <c r="B11" s="204" t="s">
        <v>8</v>
      </c>
      <c r="C11" s="205"/>
      <c r="D11" s="205"/>
      <c r="E11" s="205"/>
      <c r="F11" s="205"/>
      <c r="G11" s="205"/>
      <c r="H11" s="205"/>
      <c r="I11" s="205"/>
      <c r="J11" s="206"/>
      <c r="K11" s="23"/>
      <c r="L11" s="23"/>
      <c r="M11" s="201"/>
      <c r="N11" s="9"/>
      <c r="O11" s="159"/>
      <c r="P11" s="160"/>
    </row>
    <row r="12" spans="1:16" ht="18" customHeight="1">
      <c r="A12" s="3"/>
      <c r="B12" s="204"/>
      <c r="C12" s="205"/>
      <c r="D12" s="205"/>
      <c r="E12" s="205"/>
      <c r="F12" s="205"/>
      <c r="G12" s="205"/>
      <c r="H12" s="205"/>
      <c r="I12" s="205"/>
      <c r="J12" s="206"/>
      <c r="K12" s="23"/>
      <c r="L12" s="23"/>
      <c r="M12" s="201"/>
      <c r="N12" s="9"/>
      <c r="O12" s="159"/>
      <c r="P12" s="160"/>
    </row>
    <row r="13" spans="1:16" ht="18" customHeight="1">
      <c r="B13" s="111" t="s">
        <v>25</v>
      </c>
      <c r="C13" s="207" t="s">
        <v>6</v>
      </c>
      <c r="D13" s="208"/>
      <c r="E13" s="207" t="s">
        <v>7</v>
      </c>
      <c r="F13" s="208"/>
      <c r="G13" s="207" t="s">
        <v>9</v>
      </c>
      <c r="H13" s="208"/>
      <c r="I13" s="207" t="s">
        <v>10</v>
      </c>
      <c r="J13" s="208"/>
      <c r="K13" s="112" t="s">
        <v>11</v>
      </c>
      <c r="L13" s="112" t="s">
        <v>24</v>
      </c>
      <c r="M13" s="107"/>
      <c r="N13" s="9"/>
      <c r="O13" s="159"/>
      <c r="P13" s="160"/>
    </row>
    <row r="14" spans="1:16" ht="18" customHeight="1">
      <c r="B14" s="63"/>
      <c r="C14" s="145"/>
      <c r="D14" s="146"/>
      <c r="E14" s="145"/>
      <c r="F14" s="146"/>
      <c r="G14" s="145"/>
      <c r="H14" s="146"/>
      <c r="I14" s="145"/>
      <c r="J14" s="146"/>
      <c r="K14" s="64"/>
      <c r="L14" s="65"/>
      <c r="M14" s="107"/>
      <c r="N14" s="9"/>
      <c r="O14" s="159"/>
      <c r="P14" s="160"/>
    </row>
    <row r="15" spans="1:16" ht="18" customHeight="1">
      <c r="B15" s="66"/>
      <c r="C15" s="151"/>
      <c r="D15" s="152"/>
      <c r="E15" s="151"/>
      <c r="F15" s="152"/>
      <c r="G15" s="151"/>
      <c r="H15" s="152"/>
      <c r="I15" s="155"/>
      <c r="J15" s="156"/>
      <c r="K15" s="67"/>
      <c r="L15" s="68"/>
      <c r="M15" s="109"/>
      <c r="N15" s="11"/>
      <c r="O15" s="161"/>
      <c r="P15" s="162"/>
    </row>
    <row r="16" spans="1:16" ht="18" customHeight="1">
      <c r="B16" s="71"/>
      <c r="C16" s="180"/>
      <c r="D16" s="181"/>
      <c r="E16" s="180"/>
      <c r="F16" s="181"/>
      <c r="G16" s="180"/>
      <c r="H16" s="181"/>
      <c r="I16" s="157"/>
      <c r="J16" s="158"/>
      <c r="K16" s="69"/>
      <c r="L16" s="76"/>
      <c r="M16" s="200" t="s">
        <v>29</v>
      </c>
      <c r="N16" s="8"/>
      <c r="O16" s="172"/>
      <c r="P16" s="173"/>
    </row>
    <row r="17" spans="2:16" ht="18" customHeight="1">
      <c r="B17" s="77"/>
      <c r="C17" s="176"/>
      <c r="D17" s="177"/>
      <c r="E17" s="176"/>
      <c r="F17" s="177"/>
      <c r="G17" s="176"/>
      <c r="H17" s="177"/>
      <c r="I17" s="149"/>
      <c r="J17" s="150"/>
      <c r="K17" s="78"/>
      <c r="L17" s="79"/>
      <c r="M17" s="201"/>
      <c r="N17" s="9"/>
      <c r="O17" s="159"/>
      <c r="P17" s="160"/>
    </row>
    <row r="18" spans="2:16" ht="18" customHeight="1">
      <c r="B18" s="63"/>
      <c r="C18" s="145"/>
      <c r="D18" s="146"/>
      <c r="E18" s="145"/>
      <c r="F18" s="146"/>
      <c r="G18" s="145"/>
      <c r="H18" s="146"/>
      <c r="I18" s="145"/>
      <c r="J18" s="146"/>
      <c r="K18" s="64"/>
      <c r="L18" s="65"/>
      <c r="M18" s="201"/>
      <c r="N18" s="9"/>
      <c r="O18" s="159"/>
      <c r="P18" s="160"/>
    </row>
    <row r="19" spans="2:16" ht="18" customHeight="1">
      <c r="B19" s="66"/>
      <c r="C19" s="151"/>
      <c r="D19" s="152"/>
      <c r="E19" s="151"/>
      <c r="F19" s="152"/>
      <c r="G19" s="151"/>
      <c r="H19" s="182"/>
      <c r="I19" s="151"/>
      <c r="J19" s="152"/>
      <c r="K19" s="83"/>
      <c r="L19" s="68"/>
      <c r="M19" s="107"/>
      <c r="N19" s="9"/>
      <c r="O19" s="159"/>
      <c r="P19" s="160"/>
    </row>
    <row r="20" spans="2:16" ht="18" customHeight="1">
      <c r="B20" s="71"/>
      <c r="C20" s="180"/>
      <c r="D20" s="181"/>
      <c r="E20" s="180"/>
      <c r="F20" s="181"/>
      <c r="G20" s="180"/>
      <c r="H20" s="181"/>
      <c r="I20" s="147"/>
      <c r="J20" s="148"/>
      <c r="K20" s="69"/>
      <c r="L20" s="76"/>
      <c r="M20" s="107"/>
      <c r="N20" s="9"/>
      <c r="O20" s="159"/>
      <c r="P20" s="160"/>
    </row>
    <row r="21" spans="2:16" ht="18" customHeight="1">
      <c r="B21" s="77"/>
      <c r="C21" s="176"/>
      <c r="D21" s="177"/>
      <c r="E21" s="176"/>
      <c r="F21" s="177"/>
      <c r="G21" s="176"/>
      <c r="H21" s="177"/>
      <c r="I21" s="149"/>
      <c r="J21" s="150"/>
      <c r="K21" s="78"/>
      <c r="L21" s="79"/>
      <c r="M21" s="109"/>
      <c r="N21" s="11"/>
      <c r="O21" s="161"/>
      <c r="P21" s="162"/>
    </row>
    <row r="22" spans="2:16" ht="18" customHeight="1">
      <c r="B22" s="63"/>
      <c r="C22" s="145"/>
      <c r="D22" s="146"/>
      <c r="E22" s="145"/>
      <c r="F22" s="146"/>
      <c r="G22" s="145"/>
      <c r="H22" s="146"/>
      <c r="I22" s="145"/>
      <c r="J22" s="146"/>
      <c r="K22" s="72"/>
      <c r="L22" s="65"/>
      <c r="M22" s="200" t="s">
        <v>30</v>
      </c>
      <c r="N22" s="8"/>
      <c r="O22" s="172"/>
      <c r="P22" s="173"/>
    </row>
    <row r="23" spans="2:16" ht="18" customHeight="1">
      <c r="B23" s="66"/>
      <c r="C23" s="151"/>
      <c r="D23" s="152"/>
      <c r="E23" s="151"/>
      <c r="F23" s="152"/>
      <c r="G23" s="151"/>
      <c r="H23" s="152"/>
      <c r="I23" s="151"/>
      <c r="J23" s="152"/>
      <c r="K23" s="67"/>
      <c r="L23" s="68"/>
      <c r="M23" s="201"/>
      <c r="N23" s="9"/>
      <c r="O23" s="159"/>
      <c r="P23" s="160"/>
    </row>
    <row r="24" spans="2:16" ht="18" customHeight="1">
      <c r="B24" s="71"/>
      <c r="C24" s="180"/>
      <c r="D24" s="181"/>
      <c r="E24" s="180"/>
      <c r="F24" s="181"/>
      <c r="G24" s="180"/>
      <c r="H24" s="181"/>
      <c r="I24" s="147"/>
      <c r="J24" s="148"/>
      <c r="K24" s="69"/>
      <c r="L24" s="76"/>
      <c r="M24" s="201"/>
      <c r="N24" s="9"/>
      <c r="O24" s="159"/>
      <c r="P24" s="160"/>
    </row>
    <row r="25" spans="2:16" ht="18" customHeight="1">
      <c r="B25" s="77"/>
      <c r="C25" s="176"/>
      <c r="D25" s="177"/>
      <c r="E25" s="176"/>
      <c r="F25" s="177"/>
      <c r="G25" s="176"/>
      <c r="H25" s="177"/>
      <c r="I25" s="149"/>
      <c r="J25" s="150"/>
      <c r="K25" s="78"/>
      <c r="L25" s="79"/>
      <c r="M25" s="201"/>
      <c r="N25" s="9"/>
      <c r="O25" s="159"/>
      <c r="P25" s="160"/>
    </row>
    <row r="26" spans="2:16" ht="18" customHeight="1">
      <c r="B26" s="63"/>
      <c r="C26" s="145"/>
      <c r="D26" s="146"/>
      <c r="E26" s="145"/>
      <c r="F26" s="146"/>
      <c r="G26" s="145"/>
      <c r="H26" s="146"/>
      <c r="I26" s="145"/>
      <c r="J26" s="146"/>
      <c r="K26" s="72"/>
      <c r="L26" s="65"/>
      <c r="M26" s="107"/>
      <c r="N26" s="9"/>
      <c r="O26" s="159"/>
      <c r="P26" s="160"/>
    </row>
    <row r="27" spans="2:16" ht="18" customHeight="1">
      <c r="B27" s="66"/>
      <c r="C27" s="151"/>
      <c r="D27" s="152"/>
      <c r="E27" s="151"/>
      <c r="F27" s="152"/>
      <c r="G27" s="151"/>
      <c r="H27" s="152"/>
      <c r="I27" s="151"/>
      <c r="J27" s="152"/>
      <c r="K27" s="67"/>
      <c r="L27" s="68"/>
      <c r="M27" s="109"/>
      <c r="N27" s="11"/>
      <c r="O27" s="161"/>
      <c r="P27" s="162"/>
    </row>
    <row r="28" spans="2:16" ht="18" customHeight="1">
      <c r="B28" s="71"/>
      <c r="C28" s="180"/>
      <c r="D28" s="181"/>
      <c r="E28" s="180"/>
      <c r="F28" s="181"/>
      <c r="G28" s="180"/>
      <c r="H28" s="181"/>
      <c r="I28" s="147"/>
      <c r="J28" s="148"/>
      <c r="K28" s="69"/>
      <c r="L28" s="76"/>
      <c r="M28" s="200" t="s">
        <v>27</v>
      </c>
      <c r="N28" s="8"/>
      <c r="O28" s="172"/>
      <c r="P28" s="173"/>
    </row>
    <row r="29" spans="2:16" ht="18" customHeight="1">
      <c r="B29" s="77"/>
      <c r="C29" s="176"/>
      <c r="D29" s="177"/>
      <c r="E29" s="176"/>
      <c r="F29" s="177"/>
      <c r="G29" s="176"/>
      <c r="H29" s="177"/>
      <c r="I29" s="149"/>
      <c r="J29" s="150"/>
      <c r="K29" s="78"/>
      <c r="L29" s="79"/>
      <c r="M29" s="201"/>
      <c r="N29" s="9"/>
      <c r="O29" s="159"/>
      <c r="P29" s="160"/>
    </row>
    <row r="30" spans="2:16" ht="18" customHeight="1">
      <c r="B30" s="63"/>
      <c r="C30" s="145"/>
      <c r="D30" s="146"/>
      <c r="E30" s="145"/>
      <c r="F30" s="146"/>
      <c r="G30" s="145"/>
      <c r="H30" s="146"/>
      <c r="I30" s="145"/>
      <c r="J30" s="146"/>
      <c r="K30" s="72"/>
      <c r="L30" s="74"/>
      <c r="M30" s="201"/>
      <c r="N30" s="9"/>
      <c r="O30" s="159"/>
      <c r="P30" s="160"/>
    </row>
    <row r="31" spans="2:16" ht="18" customHeight="1">
      <c r="B31" s="66"/>
      <c r="C31" s="151"/>
      <c r="D31" s="152"/>
      <c r="E31" s="151"/>
      <c r="F31" s="152"/>
      <c r="G31" s="151"/>
      <c r="H31" s="152"/>
      <c r="I31" s="151"/>
      <c r="J31" s="152"/>
      <c r="K31" s="67"/>
      <c r="L31" s="73"/>
      <c r="M31" s="6"/>
      <c r="N31" s="9"/>
      <c r="O31" s="159"/>
      <c r="P31" s="160"/>
    </row>
    <row r="32" spans="2:16" ht="18" customHeight="1">
      <c r="B32" s="63"/>
      <c r="C32" s="145"/>
      <c r="D32" s="146"/>
      <c r="E32" s="145"/>
      <c r="F32" s="146"/>
      <c r="G32" s="145"/>
      <c r="H32" s="146"/>
      <c r="I32" s="145"/>
      <c r="J32" s="146"/>
      <c r="K32" s="72"/>
      <c r="L32" s="70"/>
      <c r="M32" s="6"/>
      <c r="N32" s="9"/>
      <c r="O32" s="159"/>
      <c r="P32" s="160"/>
    </row>
    <row r="33" spans="2:16" ht="18" customHeight="1">
      <c r="B33" s="75"/>
      <c r="C33" s="174"/>
      <c r="D33" s="175"/>
      <c r="E33" s="174"/>
      <c r="F33" s="175"/>
      <c r="G33" s="174"/>
      <c r="H33" s="175"/>
      <c r="I33" s="151"/>
      <c r="J33" s="152"/>
      <c r="K33" s="24"/>
      <c r="L33" s="24"/>
      <c r="M33" s="7"/>
      <c r="N33" s="12"/>
      <c r="O33" s="170"/>
      <c r="P33" s="171"/>
    </row>
  </sheetData>
  <mergeCells count="118">
    <mergeCell ref="M10:M12"/>
    <mergeCell ref="P2:P3"/>
    <mergeCell ref="O10:P10"/>
    <mergeCell ref="B11:J12"/>
    <mergeCell ref="O11:P11"/>
    <mergeCell ref="O12:P12"/>
    <mergeCell ref="C13:D13"/>
    <mergeCell ref="E13:F13"/>
    <mergeCell ref="G13:H13"/>
    <mergeCell ref="I13:J13"/>
    <mergeCell ref="O13:P13"/>
    <mergeCell ref="B3:B4"/>
    <mergeCell ref="M2:O3"/>
    <mergeCell ref="M4:M6"/>
    <mergeCell ref="O4:P4"/>
    <mergeCell ref="O5:P5"/>
    <mergeCell ref="O6:P6"/>
    <mergeCell ref="O7:P7"/>
    <mergeCell ref="O8:P8"/>
    <mergeCell ref="O9:P9"/>
    <mergeCell ref="C14:D14"/>
    <mergeCell ref="E14:F14"/>
    <mergeCell ref="G14:H14"/>
    <mergeCell ref="O14:P14"/>
    <mergeCell ref="C15:D15"/>
    <mergeCell ref="E15:F15"/>
    <mergeCell ref="G15:H15"/>
    <mergeCell ref="O15:P15"/>
    <mergeCell ref="I14:J15"/>
    <mergeCell ref="I18:J18"/>
    <mergeCell ref="I19:J19"/>
    <mergeCell ref="O17:P17"/>
    <mergeCell ref="C18:D18"/>
    <mergeCell ref="E18:F18"/>
    <mergeCell ref="G18:H18"/>
    <mergeCell ref="O18:P18"/>
    <mergeCell ref="C16:D16"/>
    <mergeCell ref="E16:F16"/>
    <mergeCell ref="G16:H16"/>
    <mergeCell ref="M16:M18"/>
    <mergeCell ref="O16:P16"/>
    <mergeCell ref="C17:D17"/>
    <mergeCell ref="E17:F17"/>
    <mergeCell ref="G17:H17"/>
    <mergeCell ref="I16:J17"/>
    <mergeCell ref="C19:D19"/>
    <mergeCell ref="E19:F19"/>
    <mergeCell ref="G19:H19"/>
    <mergeCell ref="O19:P19"/>
    <mergeCell ref="C20:D20"/>
    <mergeCell ref="E20:F20"/>
    <mergeCell ref="G20:H20"/>
    <mergeCell ref="O20:P20"/>
    <mergeCell ref="I20:J21"/>
    <mergeCell ref="O22:P22"/>
    <mergeCell ref="C23:D23"/>
    <mergeCell ref="E23:F23"/>
    <mergeCell ref="G23:H23"/>
    <mergeCell ref="O23:P23"/>
    <mergeCell ref="C21:D21"/>
    <mergeCell ref="E21:F21"/>
    <mergeCell ref="G21:H21"/>
    <mergeCell ref="O21:P21"/>
    <mergeCell ref="C22:D22"/>
    <mergeCell ref="E22:F22"/>
    <mergeCell ref="G22:H22"/>
    <mergeCell ref="M22:M25"/>
    <mergeCell ref="C24:D24"/>
    <mergeCell ref="E24:F24"/>
    <mergeCell ref="G24:H24"/>
    <mergeCell ref="O24:P24"/>
    <mergeCell ref="C25:D25"/>
    <mergeCell ref="E25:F25"/>
    <mergeCell ref="G25:H25"/>
    <mergeCell ref="O25:P25"/>
    <mergeCell ref="I24:J25"/>
    <mergeCell ref="I22:J22"/>
    <mergeCell ref="E28:F28"/>
    <mergeCell ref="G28:H28"/>
    <mergeCell ref="M28:M30"/>
    <mergeCell ref="O28:P28"/>
    <mergeCell ref="C29:D29"/>
    <mergeCell ref="E29:F29"/>
    <mergeCell ref="G29:H29"/>
    <mergeCell ref="I28:J29"/>
    <mergeCell ref="C26:D26"/>
    <mergeCell ref="E26:F26"/>
    <mergeCell ref="G26:H26"/>
    <mergeCell ref="O26:P26"/>
    <mergeCell ref="C27:D27"/>
    <mergeCell ref="E27:F27"/>
    <mergeCell ref="G27:H27"/>
    <mergeCell ref="O27:P27"/>
    <mergeCell ref="O29:P29"/>
    <mergeCell ref="I23:J23"/>
    <mergeCell ref="I26:J26"/>
    <mergeCell ref="I27:J27"/>
    <mergeCell ref="C28:D28"/>
    <mergeCell ref="I30:J30"/>
    <mergeCell ref="I31:J31"/>
    <mergeCell ref="I32:J32"/>
    <mergeCell ref="I33:J33"/>
    <mergeCell ref="O33:P33"/>
    <mergeCell ref="C31:D31"/>
    <mergeCell ref="E31:F31"/>
    <mergeCell ref="G31:H31"/>
    <mergeCell ref="O31:P31"/>
    <mergeCell ref="C32:D32"/>
    <mergeCell ref="E32:F32"/>
    <mergeCell ref="G32:H32"/>
    <mergeCell ref="O32:P32"/>
    <mergeCell ref="C33:D33"/>
    <mergeCell ref="E33:F33"/>
    <mergeCell ref="G33:H33"/>
    <mergeCell ref="C30:D30"/>
    <mergeCell ref="E30:F30"/>
    <mergeCell ref="G30:H30"/>
    <mergeCell ref="O30:P30"/>
  </mergeCells>
  <conditionalFormatting sqref="C4:H4">
    <cfRule type="expression" dxfId="127" priority="21" stopIfTrue="1">
      <formula>DAY(C4)&gt;8</formula>
    </cfRule>
  </conditionalFormatting>
  <conditionalFormatting sqref="C8:I10">
    <cfRule type="expression" dxfId="126" priority="20" stopIfTrue="1">
      <formula>AND(DAY(C8)&gt;=1,DAY(C8)&lt;=15)</formula>
    </cfRule>
  </conditionalFormatting>
  <conditionalFormatting sqref="C4:I9">
    <cfRule type="expression" dxfId="125" priority="22">
      <formula>VLOOKUP(DAY(C4),AssignmentDays,1,FALSE)=DAY(C4)</formula>
    </cfRule>
  </conditionalFormatting>
  <conditionalFormatting sqref="B14:I14 B15:C15 B16:I16 B17:H19 B22:H23 B26:H27 B30:H33 K14:L19 E15:H15 K22:L23 K26:L27 K30:L33">
    <cfRule type="expression" dxfId="124" priority="11">
      <formula>B14&lt;&gt;""</formula>
    </cfRule>
  </conditionalFormatting>
  <conditionalFormatting sqref="B20:I20 B21:H21 K20:L21">
    <cfRule type="expression" dxfId="123" priority="10">
      <formula>B20&lt;&gt;""</formula>
    </cfRule>
  </conditionalFormatting>
  <conditionalFormatting sqref="B24:H25 K24:L25">
    <cfRule type="expression" dxfId="122" priority="9">
      <formula>B24&lt;&gt;""</formula>
    </cfRule>
  </conditionalFormatting>
  <conditionalFormatting sqref="B28:H29 K28:L29">
    <cfRule type="expression" dxfId="121" priority="8">
      <formula>B28&lt;&gt;""</formula>
    </cfRule>
  </conditionalFormatting>
  <conditionalFormatting sqref="I18:J19">
    <cfRule type="expression" dxfId="120" priority="7">
      <formula>I18&lt;&gt;""</formula>
    </cfRule>
  </conditionalFormatting>
  <conditionalFormatting sqref="I22:J23">
    <cfRule type="expression" dxfId="119" priority="6">
      <formula>I22&lt;&gt;""</formula>
    </cfRule>
  </conditionalFormatting>
  <conditionalFormatting sqref="I24">
    <cfRule type="expression" dxfId="118" priority="5">
      <formula>I24&lt;&gt;""</formula>
    </cfRule>
  </conditionalFormatting>
  <conditionalFormatting sqref="I28">
    <cfRule type="expression" dxfId="117" priority="4">
      <formula>I28&lt;&gt;""</formula>
    </cfRule>
  </conditionalFormatting>
  <conditionalFormatting sqref="I26:J27">
    <cfRule type="expression" dxfId="116" priority="3">
      <formula>I26&lt;&gt;""</formula>
    </cfRule>
  </conditionalFormatting>
  <conditionalFormatting sqref="I30:J31">
    <cfRule type="expression" dxfId="115" priority="2">
      <formula>I30&lt;&gt;""</formula>
    </cfRule>
  </conditionalFormatting>
  <conditionalFormatting sqref="I32:J33">
    <cfRule type="expression" dxfId="114" priority="1">
      <formula>I32&lt;&gt;""</formula>
    </cfRule>
  </conditionalFormatting>
  <printOptions horizontalCentered="1" verticalCentered="1"/>
  <pageMargins left="0.5" right="0.5" top="0.5" bottom="0.5" header="0.3" footer="0.3"/>
  <pageSetup scale="91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stopIfTrue="1" id="{B5B236D2-7B95-5E42-A83C-02BF3A04FDB6}">
            <xm:f>AND(DAY(Jan!L8)&gt;=1,DAY(Jan!L8)&lt;=15)</xm:f>
            <x14:dxf>
              <font>
                <color theme="0" tint="-0.24994659260841701"/>
              </font>
            </x14:dxf>
          </x14:cfRule>
          <xm:sqref>K8:K10</xm:sqref>
        </x14:conditionalFormatting>
        <x14:conditionalFormatting xmlns:xm="http://schemas.microsoft.com/office/excel/2006/main">
          <x14:cfRule type="expression" priority="18" id="{9CD75FD8-3C8F-884B-9C41-017A6176E468}">
            <xm:f>VLOOKUP(DAY(Jan!L4),AssignmentDays,1,FALSE)=DAY(Jan!L4)</xm:f>
            <x14:dxf>
              <font>
                <b/>
                <i val="0"/>
                <color theme="1"/>
              </font>
              <fill>
                <patternFill patternType="solid">
                  <bgColor theme="4" tint="0.79998168889431442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K4:K9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38</vt:i4>
      </vt:variant>
    </vt:vector>
  </HeadingPairs>
  <TitlesOfParts>
    <vt:vector size="56" baseType="lpstr">
      <vt:lpstr>2020</vt:lpstr>
      <vt:lpstr>Budget</vt:lpstr>
      <vt:lpstr>Q1</vt:lpstr>
      <vt:lpstr>Jan</vt:lpstr>
      <vt:lpstr>Feb</vt:lpstr>
      <vt:lpstr>Mar</vt:lpstr>
      <vt:lpstr>Q2</vt:lpstr>
      <vt:lpstr>Apr</vt:lpstr>
      <vt:lpstr>May</vt:lpstr>
      <vt:lpstr>Jun</vt:lpstr>
      <vt:lpstr>Q3</vt:lpstr>
      <vt:lpstr>Jul</vt:lpstr>
      <vt:lpstr>Aug</vt:lpstr>
      <vt:lpstr>Sep</vt:lpstr>
      <vt:lpstr>Q4</vt:lpstr>
      <vt:lpstr>Oct</vt:lpstr>
      <vt:lpstr>Nov</vt:lpstr>
      <vt:lpstr>Dec</vt:lpstr>
      <vt:lpstr>Apr!AssignmentDays</vt:lpstr>
      <vt:lpstr>Aug!AssignmentDays</vt:lpstr>
      <vt:lpstr>Dec!AssignmentDays</vt:lpstr>
      <vt:lpstr>Feb!AssignmentDays</vt:lpstr>
      <vt:lpstr>Jul!AssignmentDays</vt:lpstr>
      <vt:lpstr>Jun!AssignmentDays</vt:lpstr>
      <vt:lpstr>Mar!AssignmentDays</vt:lpstr>
      <vt:lpstr>May!AssignmentDays</vt:lpstr>
      <vt:lpstr>Nov!AssignmentDays</vt:lpstr>
      <vt:lpstr>Oct!AssignmentDays</vt:lpstr>
      <vt:lpstr>Sep!AssignmentDays</vt:lpstr>
      <vt:lpstr>AssignmentDays</vt:lpstr>
      <vt:lpstr>CalendarYear</vt:lpstr>
      <vt:lpstr>Apr!ImportantDatesTable</vt:lpstr>
      <vt:lpstr>Aug!ImportantDatesTable</vt:lpstr>
      <vt:lpstr>Dec!ImportantDatesTable</vt:lpstr>
      <vt:lpstr>Feb!ImportantDatesTable</vt:lpstr>
      <vt:lpstr>Jul!ImportantDatesTable</vt:lpstr>
      <vt:lpstr>Jun!ImportantDatesTable</vt:lpstr>
      <vt:lpstr>Mar!ImportantDatesTable</vt:lpstr>
      <vt:lpstr>May!ImportantDatesTable</vt:lpstr>
      <vt:lpstr>Nov!ImportantDatesTable</vt:lpstr>
      <vt:lpstr>Oct!ImportantDatesTable</vt:lpstr>
      <vt:lpstr>Sep!ImportantDatesTable</vt:lpstr>
      <vt:lpstr>ImportantDatesTable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  <vt:lpstr>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Hiilite</dc:creator>
  <cp:lastModifiedBy>Hiilite</cp:lastModifiedBy>
  <dcterms:created xsi:type="dcterms:W3CDTF">2013-11-22T23:21:45Z</dcterms:created>
  <dcterms:modified xsi:type="dcterms:W3CDTF">2020-03-26T23:33:33Z</dcterms:modified>
</cp:coreProperties>
</file>